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defaultThemeVersion="124226"/>
  <workbookProtection workbookAlgorithmName="SHA-512" workbookHashValue="qdAQQoEZ9m/yV3PUKLDW7KbjBfWhVJlBLzIJS4TlcKf6Q91++4dQyQWNnZIFSnV6G0lxnGbieRTAxgnCI77yQw==" workbookSaltValue="gfmunRsy5NkO9KAb08GgDQ==" workbookSpinCount="100000" lockStructure="1"/>
  <bookViews>
    <workbookView xWindow="0" yWindow="0" windowWidth="22935" windowHeight="11670" tabRatio="495"/>
  </bookViews>
  <sheets>
    <sheet name="MODULO" sheetId="5" r:id="rId1"/>
    <sheet name="Art. 13" sheetId="3" r:id="rId2"/>
    <sheet name="Art.11" sheetId="4" r:id="rId3"/>
  </sheets>
  <definedNames>
    <definedName name="_xlnm.Print_Area" localSheetId="0">MODULO!$A$3:$K$206</definedName>
  </definedNames>
  <calcPr calcId="152511"/>
  <fileRecoveryPr autoRecover="0"/>
</workbook>
</file>

<file path=xl/calcChain.xml><?xml version="1.0" encoding="utf-8"?>
<calcChain xmlns="http://schemas.openxmlformats.org/spreadsheetml/2006/main">
  <c r="H49" i="5" l="1"/>
  <c r="J49" i="5"/>
  <c r="H50" i="5"/>
  <c r="J50" i="5"/>
  <c r="H51" i="5"/>
  <c r="J51" i="5"/>
  <c r="H52" i="5"/>
  <c r="J52" i="5"/>
  <c r="I192" i="5" l="1"/>
  <c r="G187" i="5" l="1"/>
  <c r="G189" i="5" l="1"/>
  <c r="I189" i="5" s="1"/>
  <c r="B99" i="5"/>
  <c r="E100" i="5" s="1"/>
  <c r="I187" i="5"/>
  <c r="G194" i="5"/>
  <c r="I194" i="5" s="1"/>
  <c r="G193" i="5"/>
  <c r="I193" i="5" s="1"/>
  <c r="G192" i="5"/>
  <c r="G191" i="5"/>
  <c r="I191" i="5" s="1"/>
  <c r="E186" i="5"/>
  <c r="B196" i="5" l="1"/>
  <c r="J96" i="5" l="1"/>
  <c r="G188" i="5" s="1"/>
  <c r="I188" i="5" l="1"/>
  <c r="J114" i="5"/>
  <c r="G190" i="5" s="1"/>
  <c r="I190" i="5" s="1"/>
  <c r="B46" i="5"/>
  <c r="B45" i="5"/>
  <c r="B203" i="5" l="1"/>
  <c r="J164" i="5" l="1"/>
  <c r="F48" i="5" l="1"/>
  <c r="J64" i="5" l="1"/>
  <c r="B47" i="5"/>
  <c r="B48" i="5"/>
  <c r="D48" i="5"/>
  <c r="G48" i="5"/>
  <c r="H48" i="5"/>
  <c r="I48" i="5"/>
  <c r="B59" i="5" s="1"/>
  <c r="J48" i="5"/>
  <c r="H53" i="5"/>
  <c r="J53" i="5" s="1"/>
  <c r="H54" i="5"/>
  <c r="J54" i="5" s="1"/>
  <c r="H55" i="5"/>
  <c r="J55" i="5" s="1"/>
  <c r="H56" i="5"/>
  <c r="J56" i="5" s="1"/>
  <c r="H57" i="5"/>
  <c r="J57" i="5" s="1"/>
  <c r="H58" i="5"/>
  <c r="J58" i="5" s="1"/>
  <c r="B61" i="5"/>
  <c r="B65" i="5" s="1"/>
  <c r="F61" i="5"/>
  <c r="I61" i="5"/>
  <c r="J61" i="5"/>
  <c r="J62" i="5"/>
  <c r="J63" i="5"/>
  <c r="B69" i="5"/>
  <c r="B79" i="5" s="1"/>
  <c r="D75" i="5"/>
  <c r="J80" i="5"/>
  <c r="B80" i="5" s="1"/>
  <c r="B83" i="5"/>
  <c r="F93" i="5"/>
  <c r="J93" i="5"/>
  <c r="B95" i="5"/>
  <c r="D96" i="5" s="1"/>
  <c r="J111" i="5"/>
  <c r="B113" i="5"/>
  <c r="B118" i="5"/>
  <c r="E119" i="5" s="1"/>
  <c r="J130" i="5"/>
  <c r="B132" i="5"/>
  <c r="B137" i="5"/>
  <c r="E138" i="5" s="1"/>
  <c r="F149" i="5"/>
  <c r="J149" i="5"/>
  <c r="B152" i="5"/>
  <c r="E153" i="5" s="1"/>
  <c r="B167" i="5"/>
  <c r="E168" i="5" s="1"/>
  <c r="J179" i="5"/>
  <c r="G195" i="5" s="1"/>
  <c r="G196" i="5" s="1"/>
  <c r="B86" i="5" l="1"/>
  <c r="E84" i="5"/>
  <c r="E184" i="5"/>
  <c r="I201" i="5"/>
  <c r="I195" i="5"/>
  <c r="I196" i="5" s="1"/>
  <c r="E185" i="5"/>
  <c r="J168" i="5"/>
  <c r="F153" i="5"/>
  <c r="E132" i="5"/>
  <c r="I132" i="5" s="1"/>
  <c r="B100" i="5"/>
  <c r="B102" i="5" s="1"/>
  <c r="B121" i="5"/>
  <c r="B119" i="5"/>
  <c r="B170" i="5"/>
  <c r="B172" i="5" s="1"/>
  <c r="B168" i="5"/>
  <c r="B89" i="5"/>
  <c r="B90" i="5"/>
  <c r="B87" i="5"/>
  <c r="B91" i="5"/>
  <c r="B88" i="5"/>
  <c r="B92" i="5"/>
  <c r="B138" i="5"/>
  <c r="B139" i="5"/>
  <c r="B143" i="5" s="1"/>
  <c r="B145" i="5"/>
  <c r="B114" i="5"/>
  <c r="D114" i="5"/>
  <c r="H96" i="5"/>
  <c r="B84" i="5"/>
  <c r="B85" i="5"/>
  <c r="B71" i="5"/>
  <c r="J66" i="5"/>
  <c r="B66" i="5" s="1"/>
  <c r="H114" i="5"/>
  <c r="B62" i="5"/>
  <c r="B64" i="5"/>
  <c r="J84" i="5"/>
  <c r="B93" i="5"/>
  <c r="B179" i="5"/>
  <c r="F168" i="5"/>
  <c r="J153" i="5"/>
  <c r="B157" i="5"/>
  <c r="B153" i="5"/>
  <c r="B155" i="5"/>
  <c r="B164" i="5"/>
  <c r="B149" i="5"/>
  <c r="J138" i="5"/>
  <c r="B130" i="5"/>
  <c r="B115" i="5"/>
  <c r="B96" i="5"/>
  <c r="B94" i="5"/>
  <c r="H84" i="5"/>
  <c r="F84" i="5"/>
  <c r="B77" i="5"/>
  <c r="H138" i="5"/>
  <c r="B111" i="5"/>
  <c r="B63" i="5"/>
  <c r="F138" i="5"/>
  <c r="B74" i="5"/>
  <c r="B70" i="5"/>
  <c r="J119" i="5"/>
  <c r="J100" i="5"/>
  <c r="B76" i="5"/>
  <c r="B73" i="5"/>
  <c r="I138" i="5"/>
  <c r="F119" i="5"/>
  <c r="F100" i="5"/>
  <c r="I84" i="5"/>
  <c r="B72" i="5"/>
  <c r="B131" i="5"/>
  <c r="B112" i="5"/>
  <c r="B78" i="5"/>
  <c r="B75" i="5"/>
  <c r="E196" i="5" l="1"/>
  <c r="I200" i="5" s="1"/>
  <c r="I202" i="5"/>
  <c r="B163" i="5"/>
  <c r="B161" i="5"/>
  <c r="B159" i="5"/>
  <c r="B147" i="5"/>
  <c r="C104" i="4"/>
  <c r="F80" i="4"/>
  <c r="B4" i="4"/>
  <c r="B15" i="4"/>
  <c r="C5" i="4"/>
  <c r="C71" i="4"/>
  <c r="E79" i="4"/>
  <c r="D79" i="4"/>
  <c r="C79" i="4"/>
  <c r="B79" i="4"/>
  <c r="E78" i="4"/>
  <c r="D78" i="4"/>
  <c r="C78" i="4"/>
  <c r="B78" i="4"/>
  <c r="E77" i="4"/>
  <c r="D77" i="4"/>
  <c r="C77" i="4"/>
  <c r="B77" i="4"/>
  <c r="E76" i="4"/>
  <c r="D76" i="4"/>
  <c r="C76" i="4"/>
  <c r="B76" i="4"/>
  <c r="E75" i="4"/>
  <c r="D75" i="4"/>
  <c r="C75" i="4"/>
  <c r="B75" i="4"/>
  <c r="E74" i="4"/>
  <c r="D74" i="4"/>
  <c r="C74" i="4"/>
  <c r="B74" i="4"/>
  <c r="E73" i="4"/>
  <c r="D73" i="4"/>
  <c r="C73" i="4"/>
  <c r="B73" i="4"/>
  <c r="I72" i="4"/>
  <c r="H72" i="4"/>
  <c r="G72" i="4"/>
  <c r="F72" i="4"/>
  <c r="E72" i="4"/>
  <c r="D72" i="4"/>
  <c r="C72" i="4"/>
  <c r="B72" i="4"/>
  <c r="G71" i="4"/>
  <c r="D71" i="4"/>
  <c r="B71" i="4"/>
  <c r="B70" i="4"/>
  <c r="C60" i="4"/>
  <c r="F69" i="4"/>
  <c r="E68" i="4"/>
  <c r="D68" i="4"/>
  <c r="C68" i="4"/>
  <c r="B68" i="4"/>
  <c r="E67" i="4"/>
  <c r="D67" i="4"/>
  <c r="C67" i="4"/>
  <c r="B67" i="4"/>
  <c r="E66" i="4"/>
  <c r="D66" i="4"/>
  <c r="C66" i="4"/>
  <c r="B66" i="4"/>
  <c r="E65" i="4"/>
  <c r="D65" i="4"/>
  <c r="C65" i="4"/>
  <c r="B65" i="4"/>
  <c r="E64" i="4"/>
  <c r="D64" i="4"/>
  <c r="C64" i="4"/>
  <c r="B64" i="4"/>
  <c r="E63" i="4"/>
  <c r="D63" i="4"/>
  <c r="C63" i="4"/>
  <c r="B63" i="4"/>
  <c r="E62" i="4"/>
  <c r="D62" i="4"/>
  <c r="C62" i="4"/>
  <c r="B62" i="4"/>
  <c r="I61" i="4"/>
  <c r="H61" i="4"/>
  <c r="G61" i="4"/>
  <c r="F61" i="4"/>
  <c r="E61" i="4"/>
  <c r="D61" i="4"/>
  <c r="C61" i="4"/>
  <c r="B61" i="4"/>
  <c r="G60" i="4"/>
  <c r="D60" i="4"/>
  <c r="B60" i="4"/>
  <c r="B59" i="4"/>
  <c r="C49" i="4"/>
  <c r="F58" i="4"/>
  <c r="E57" i="4"/>
  <c r="D57" i="4"/>
  <c r="C57" i="4"/>
  <c r="B57" i="4"/>
  <c r="E56" i="4"/>
  <c r="D56" i="4"/>
  <c r="C56" i="4"/>
  <c r="B56" i="4"/>
  <c r="E55" i="4"/>
  <c r="D55" i="4"/>
  <c r="C55" i="4"/>
  <c r="B55" i="4"/>
  <c r="E54" i="4"/>
  <c r="D54" i="4"/>
  <c r="C54" i="4"/>
  <c r="B54" i="4"/>
  <c r="E53" i="4"/>
  <c r="D53" i="4"/>
  <c r="C53" i="4"/>
  <c r="B53" i="4"/>
  <c r="E52" i="4"/>
  <c r="D52" i="4"/>
  <c r="C52" i="4"/>
  <c r="B52" i="4"/>
  <c r="E51" i="4"/>
  <c r="D51" i="4"/>
  <c r="C51" i="4"/>
  <c r="B51" i="4"/>
  <c r="I50" i="4"/>
  <c r="H50" i="4"/>
  <c r="G50" i="4"/>
  <c r="F50" i="4"/>
  <c r="E50" i="4"/>
  <c r="D50" i="4"/>
  <c r="C50" i="4"/>
  <c r="B50" i="4"/>
  <c r="G49" i="4"/>
  <c r="D49" i="4"/>
  <c r="B49" i="4"/>
  <c r="B48" i="4"/>
  <c r="C38" i="4"/>
  <c r="F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I39" i="4"/>
  <c r="H39" i="4"/>
  <c r="G39" i="4"/>
  <c r="F39" i="4"/>
  <c r="E39" i="4"/>
  <c r="D39" i="4"/>
  <c r="C39" i="4"/>
  <c r="B39" i="4"/>
  <c r="G38" i="4"/>
  <c r="D38" i="4"/>
  <c r="B38" i="4"/>
  <c r="B37" i="4"/>
  <c r="C27" i="4"/>
  <c r="F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I28" i="4"/>
  <c r="H28" i="4"/>
  <c r="G28" i="4"/>
  <c r="F28" i="4"/>
  <c r="E28" i="4"/>
  <c r="D28" i="4"/>
  <c r="C28" i="4"/>
  <c r="B28" i="4"/>
  <c r="G27" i="4"/>
  <c r="D27" i="4"/>
  <c r="B27" i="4"/>
  <c r="B26" i="4"/>
  <c r="C16" i="4"/>
  <c r="F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I17" i="4"/>
  <c r="H17" i="4"/>
  <c r="G17" i="4"/>
  <c r="F17" i="4"/>
  <c r="E17" i="4"/>
  <c r="D17" i="4"/>
  <c r="C17" i="4"/>
  <c r="B17" i="4"/>
  <c r="G16" i="4"/>
  <c r="D16" i="4"/>
  <c r="B16" i="4"/>
  <c r="C4" i="3"/>
  <c r="B92" i="4" l="1"/>
  <c r="D88" i="4"/>
  <c r="C99" i="4"/>
  <c r="H83" i="4"/>
  <c r="B100" i="4"/>
  <c r="F94" i="4"/>
  <c r="D104" i="4"/>
  <c r="D86" i="4"/>
  <c r="B95" i="4"/>
  <c r="D108" i="4"/>
  <c r="E83" i="4"/>
  <c r="E88" i="4"/>
  <c r="C97" i="4"/>
  <c r="I105" i="4"/>
  <c r="D85" i="4"/>
  <c r="E90" i="4"/>
  <c r="B97" i="4"/>
  <c r="F102" i="4"/>
  <c r="D111" i="4"/>
  <c r="D82" i="4"/>
  <c r="D84" i="4"/>
  <c r="E86" i="4"/>
  <c r="D89" i="4"/>
  <c r="B94" i="4"/>
  <c r="C95" i="4"/>
  <c r="B98" i="4"/>
  <c r="B101" i="4"/>
  <c r="G104" i="4"/>
  <c r="D106" i="4"/>
  <c r="D109" i="4"/>
  <c r="E111" i="4"/>
  <c r="D83" i="4"/>
  <c r="E84" i="4"/>
  <c r="D87" i="4"/>
  <c r="D90" i="4"/>
  <c r="C94" i="4"/>
  <c r="B96" i="4"/>
  <c r="B99" i="4"/>
  <c r="C101" i="4"/>
  <c r="D105" i="4"/>
  <c r="D107" i="4"/>
  <c r="E109" i="4"/>
  <c r="D112" i="4"/>
  <c r="H105" i="4"/>
  <c r="E107" i="4"/>
  <c r="D110" i="4"/>
  <c r="G82" i="4"/>
  <c r="I83" i="4"/>
  <c r="E85" i="4"/>
  <c r="E87" i="4"/>
  <c r="E89" i="4"/>
  <c r="B93" i="4"/>
  <c r="G94" i="4"/>
  <c r="C96" i="4"/>
  <c r="C98" i="4"/>
  <c r="C100" i="4"/>
  <c r="C93" i="4"/>
  <c r="G95" i="4" s="1"/>
  <c r="E105" i="4"/>
  <c r="E106" i="4"/>
  <c r="E108" i="4"/>
  <c r="E110" i="4"/>
  <c r="E112" i="4"/>
  <c r="B81" i="4"/>
  <c r="B83" i="4"/>
  <c r="F83" i="4"/>
  <c r="B84" i="4"/>
  <c r="B85" i="4"/>
  <c r="B86" i="4"/>
  <c r="B87" i="4"/>
  <c r="B88" i="4"/>
  <c r="B89" i="4"/>
  <c r="B90" i="4"/>
  <c r="F91" i="4"/>
  <c r="D93" i="4"/>
  <c r="D94" i="4"/>
  <c r="H94" i="4"/>
  <c r="D95" i="4"/>
  <c r="D96" i="4"/>
  <c r="D97" i="4"/>
  <c r="D98" i="4"/>
  <c r="D99" i="4"/>
  <c r="D100" i="4"/>
  <c r="D101" i="4"/>
  <c r="B103" i="4"/>
  <c r="B105" i="4"/>
  <c r="F105" i="4"/>
  <c r="B106" i="4"/>
  <c r="H106" i="4" s="1"/>
  <c r="B107" i="4"/>
  <c r="B108" i="4"/>
  <c r="H108" i="4" s="1"/>
  <c r="B109" i="4"/>
  <c r="H109" i="4" s="1"/>
  <c r="B110" i="4"/>
  <c r="G110" i="4" s="1"/>
  <c r="B111" i="4"/>
  <c r="B112" i="4"/>
  <c r="H112" i="4" s="1"/>
  <c r="F113" i="4"/>
  <c r="B82" i="4"/>
  <c r="C83" i="4"/>
  <c r="G83" i="4"/>
  <c r="C84" i="4"/>
  <c r="C85" i="4"/>
  <c r="C86" i="4"/>
  <c r="C87" i="4"/>
  <c r="C88" i="4"/>
  <c r="C89" i="4"/>
  <c r="C90" i="4"/>
  <c r="C82" i="4"/>
  <c r="G93" i="4"/>
  <c r="E94" i="4"/>
  <c r="I94" i="4"/>
  <c r="E95" i="4"/>
  <c r="E96" i="4"/>
  <c r="E97" i="4"/>
  <c r="E98" i="4"/>
  <c r="E99" i="4"/>
  <c r="E100" i="4"/>
  <c r="E101" i="4"/>
  <c r="B104" i="4"/>
  <c r="C105" i="4"/>
  <c r="G105" i="4"/>
  <c r="C106" i="4"/>
  <c r="C107" i="4"/>
  <c r="C108" i="4"/>
  <c r="C109" i="4"/>
  <c r="C110" i="4"/>
  <c r="C111" i="4"/>
  <c r="C112" i="4"/>
  <c r="H68" i="4"/>
  <c r="H57" i="4"/>
  <c r="G13" i="4"/>
  <c r="G11" i="4"/>
  <c r="G7" i="4"/>
  <c r="G10" i="4"/>
  <c r="G9" i="4"/>
  <c r="G12" i="4"/>
  <c r="G8" i="4"/>
  <c r="H24" i="4"/>
  <c r="H35" i="4"/>
  <c r="H46" i="4"/>
  <c r="H79" i="4"/>
  <c r="G73" i="4"/>
  <c r="G74" i="4"/>
  <c r="G75" i="4"/>
  <c r="G76" i="4"/>
  <c r="G77" i="4"/>
  <c r="G78" i="4"/>
  <c r="G79" i="4"/>
  <c r="H73" i="4"/>
  <c r="H74" i="4"/>
  <c r="H75" i="4"/>
  <c r="H76" i="4"/>
  <c r="H77" i="4"/>
  <c r="H78" i="4"/>
  <c r="G62" i="4"/>
  <c r="G63" i="4"/>
  <c r="G64" i="4"/>
  <c r="G65" i="4"/>
  <c r="G66" i="4"/>
  <c r="G67" i="4"/>
  <c r="G68" i="4"/>
  <c r="H62" i="4"/>
  <c r="H63" i="4"/>
  <c r="H64" i="4"/>
  <c r="H65" i="4"/>
  <c r="H66" i="4"/>
  <c r="H67" i="4"/>
  <c r="G51" i="4"/>
  <c r="G52" i="4"/>
  <c r="G53" i="4"/>
  <c r="G54" i="4"/>
  <c r="G55" i="4"/>
  <c r="G56" i="4"/>
  <c r="G57" i="4"/>
  <c r="I57" i="4" s="1"/>
  <c r="H51" i="4"/>
  <c r="H52" i="4"/>
  <c r="H53" i="4"/>
  <c r="H54" i="4"/>
  <c r="H55" i="4"/>
  <c r="H56" i="4"/>
  <c r="G40" i="4"/>
  <c r="G41" i="4"/>
  <c r="G42" i="4"/>
  <c r="G43" i="4"/>
  <c r="G44" i="4"/>
  <c r="G45" i="4"/>
  <c r="G46" i="4"/>
  <c r="H40" i="4"/>
  <c r="H41" i="4"/>
  <c r="H42" i="4"/>
  <c r="H43" i="4"/>
  <c r="H44" i="4"/>
  <c r="H45" i="4"/>
  <c r="G29" i="4"/>
  <c r="G30" i="4"/>
  <c r="G31" i="4"/>
  <c r="G32" i="4"/>
  <c r="G33" i="4"/>
  <c r="G34" i="4"/>
  <c r="G35" i="4"/>
  <c r="I35" i="4" s="1"/>
  <c r="H29" i="4"/>
  <c r="H30" i="4"/>
  <c r="H31" i="4"/>
  <c r="H32" i="4"/>
  <c r="H33" i="4"/>
  <c r="H34" i="4"/>
  <c r="G18" i="4"/>
  <c r="G19" i="4"/>
  <c r="G20" i="4"/>
  <c r="G21" i="4"/>
  <c r="G22" i="4"/>
  <c r="G23" i="4"/>
  <c r="G24" i="4"/>
  <c r="H18" i="4"/>
  <c r="H19" i="4"/>
  <c r="H20" i="4"/>
  <c r="H21" i="4"/>
  <c r="H22" i="4"/>
  <c r="H23" i="4"/>
  <c r="C81" i="3"/>
  <c r="F90" i="3"/>
  <c r="E89" i="3"/>
  <c r="D89" i="3"/>
  <c r="C89" i="3"/>
  <c r="B89" i="3"/>
  <c r="E88" i="3"/>
  <c r="D88" i="3"/>
  <c r="C88" i="3"/>
  <c r="B88" i="3"/>
  <c r="E87" i="3"/>
  <c r="D87" i="3"/>
  <c r="C87" i="3"/>
  <c r="B87" i="3"/>
  <c r="E86" i="3"/>
  <c r="D86" i="3"/>
  <c r="C86" i="3"/>
  <c r="B86" i="3"/>
  <c r="E85" i="3"/>
  <c r="D85" i="3"/>
  <c r="C85" i="3"/>
  <c r="B85" i="3"/>
  <c r="E84" i="3"/>
  <c r="D84" i="3"/>
  <c r="C84" i="3"/>
  <c r="B84" i="3"/>
  <c r="E83" i="3"/>
  <c r="D83" i="3"/>
  <c r="C83" i="3"/>
  <c r="B83" i="3"/>
  <c r="I82" i="3"/>
  <c r="H82" i="3"/>
  <c r="G82" i="3"/>
  <c r="F82" i="3"/>
  <c r="E82" i="3"/>
  <c r="D82" i="3"/>
  <c r="C82" i="3"/>
  <c r="B82" i="3"/>
  <c r="G81" i="3"/>
  <c r="D81" i="3"/>
  <c r="B81" i="3"/>
  <c r="B80" i="3"/>
  <c r="C70" i="3"/>
  <c r="F79" i="3"/>
  <c r="E78" i="3"/>
  <c r="D78" i="3"/>
  <c r="C78" i="3"/>
  <c r="B78" i="3"/>
  <c r="E77" i="3"/>
  <c r="D77" i="3"/>
  <c r="C77" i="3"/>
  <c r="B77" i="3"/>
  <c r="E76" i="3"/>
  <c r="D76" i="3"/>
  <c r="C76" i="3"/>
  <c r="B76" i="3"/>
  <c r="E75" i="3"/>
  <c r="D75" i="3"/>
  <c r="C75" i="3"/>
  <c r="B75" i="3"/>
  <c r="E74" i="3"/>
  <c r="D74" i="3"/>
  <c r="C74" i="3"/>
  <c r="B74" i="3"/>
  <c r="E73" i="3"/>
  <c r="D73" i="3"/>
  <c r="C73" i="3"/>
  <c r="B73" i="3"/>
  <c r="E72" i="3"/>
  <c r="D72" i="3"/>
  <c r="C72" i="3"/>
  <c r="B72" i="3"/>
  <c r="I71" i="3"/>
  <c r="H71" i="3"/>
  <c r="G71" i="3"/>
  <c r="F71" i="3"/>
  <c r="E71" i="3"/>
  <c r="D71" i="3"/>
  <c r="C71" i="3"/>
  <c r="B71" i="3"/>
  <c r="G70" i="3"/>
  <c r="D70" i="3"/>
  <c r="B70" i="3"/>
  <c r="B69" i="3"/>
  <c r="C59" i="3"/>
  <c r="F68" i="3"/>
  <c r="E67" i="3"/>
  <c r="D67" i="3"/>
  <c r="C67" i="3"/>
  <c r="B67" i="3"/>
  <c r="E66" i="3"/>
  <c r="D66" i="3"/>
  <c r="C66" i="3"/>
  <c r="B66" i="3"/>
  <c r="E65" i="3"/>
  <c r="D65" i="3"/>
  <c r="C65" i="3"/>
  <c r="B65" i="3"/>
  <c r="E64" i="3"/>
  <c r="D64" i="3"/>
  <c r="C64" i="3"/>
  <c r="B64" i="3"/>
  <c r="E63" i="3"/>
  <c r="D63" i="3"/>
  <c r="C63" i="3"/>
  <c r="B63" i="3"/>
  <c r="E62" i="3"/>
  <c r="D62" i="3"/>
  <c r="C62" i="3"/>
  <c r="B62" i="3"/>
  <c r="E61" i="3"/>
  <c r="D61" i="3"/>
  <c r="C61" i="3"/>
  <c r="B61" i="3"/>
  <c r="I60" i="3"/>
  <c r="H60" i="3"/>
  <c r="G60" i="3"/>
  <c r="F60" i="3"/>
  <c r="E60" i="3"/>
  <c r="D60" i="3"/>
  <c r="C60" i="3"/>
  <c r="B60" i="3"/>
  <c r="G59" i="3"/>
  <c r="D59" i="3"/>
  <c r="B59" i="3"/>
  <c r="B58" i="3"/>
  <c r="C48" i="3"/>
  <c r="F57" i="3"/>
  <c r="E56" i="3"/>
  <c r="D56" i="3"/>
  <c r="C56" i="3"/>
  <c r="B56" i="3"/>
  <c r="E55" i="3"/>
  <c r="D55" i="3"/>
  <c r="C55" i="3"/>
  <c r="B55" i="3"/>
  <c r="E54" i="3"/>
  <c r="D54" i="3"/>
  <c r="C54" i="3"/>
  <c r="B54" i="3"/>
  <c r="E53" i="3"/>
  <c r="D53" i="3"/>
  <c r="C53" i="3"/>
  <c r="B53" i="3"/>
  <c r="E52" i="3"/>
  <c r="D52" i="3"/>
  <c r="C52" i="3"/>
  <c r="B52" i="3"/>
  <c r="E51" i="3"/>
  <c r="D51" i="3"/>
  <c r="C51" i="3"/>
  <c r="B51" i="3"/>
  <c r="E50" i="3"/>
  <c r="D50" i="3"/>
  <c r="C50" i="3"/>
  <c r="B50" i="3"/>
  <c r="I49" i="3"/>
  <c r="H49" i="3"/>
  <c r="G49" i="3"/>
  <c r="F49" i="3"/>
  <c r="E49" i="3"/>
  <c r="D49" i="3"/>
  <c r="C49" i="3"/>
  <c r="B49" i="3"/>
  <c r="G48" i="3"/>
  <c r="D48" i="3"/>
  <c r="B48" i="3"/>
  <c r="B47" i="3"/>
  <c r="C37" i="3"/>
  <c r="F46" i="3"/>
  <c r="E45" i="3"/>
  <c r="D45" i="3"/>
  <c r="C45" i="3"/>
  <c r="B45" i="3"/>
  <c r="E44" i="3"/>
  <c r="D44" i="3"/>
  <c r="C44" i="3"/>
  <c r="B44" i="3"/>
  <c r="E43" i="3"/>
  <c r="D43" i="3"/>
  <c r="C43" i="3"/>
  <c r="B43" i="3"/>
  <c r="E42" i="3"/>
  <c r="D42" i="3"/>
  <c r="C42" i="3"/>
  <c r="B42" i="3"/>
  <c r="E41" i="3"/>
  <c r="D41" i="3"/>
  <c r="C41" i="3"/>
  <c r="B41" i="3"/>
  <c r="E40" i="3"/>
  <c r="D40" i="3"/>
  <c r="C40" i="3"/>
  <c r="B40" i="3"/>
  <c r="E39" i="3"/>
  <c r="D39" i="3"/>
  <c r="C39" i="3"/>
  <c r="B39" i="3"/>
  <c r="I38" i="3"/>
  <c r="H38" i="3"/>
  <c r="G38" i="3"/>
  <c r="F38" i="3"/>
  <c r="E38" i="3"/>
  <c r="D38" i="3"/>
  <c r="C38" i="3"/>
  <c r="B38" i="3"/>
  <c r="G37" i="3"/>
  <c r="D37" i="3"/>
  <c r="B37" i="3"/>
  <c r="B36" i="3"/>
  <c r="C26" i="3"/>
  <c r="F35" i="3"/>
  <c r="E34" i="3"/>
  <c r="D34" i="3"/>
  <c r="C34" i="3"/>
  <c r="B34" i="3"/>
  <c r="E33" i="3"/>
  <c r="D33" i="3"/>
  <c r="C33" i="3"/>
  <c r="B33" i="3"/>
  <c r="E32" i="3"/>
  <c r="D32" i="3"/>
  <c r="C32" i="3"/>
  <c r="B32" i="3"/>
  <c r="E31" i="3"/>
  <c r="D31" i="3"/>
  <c r="C31" i="3"/>
  <c r="B31" i="3"/>
  <c r="E30" i="3"/>
  <c r="D30" i="3"/>
  <c r="C30" i="3"/>
  <c r="B30" i="3"/>
  <c r="E29" i="3"/>
  <c r="D29" i="3"/>
  <c r="C29" i="3"/>
  <c r="B29" i="3"/>
  <c r="E28" i="3"/>
  <c r="D28" i="3"/>
  <c r="C28" i="3"/>
  <c r="B28" i="3"/>
  <c r="I27" i="3"/>
  <c r="H27" i="3"/>
  <c r="G27" i="3"/>
  <c r="F27" i="3"/>
  <c r="E27" i="3"/>
  <c r="D27" i="3"/>
  <c r="C27" i="3"/>
  <c r="B27" i="3"/>
  <c r="G26" i="3"/>
  <c r="D26" i="3"/>
  <c r="B26" i="3"/>
  <c r="B25" i="3"/>
  <c r="G109" i="4" l="1"/>
  <c r="H110" i="4"/>
  <c r="I65" i="4"/>
  <c r="H97" i="4"/>
  <c r="G96" i="4"/>
  <c r="G108" i="4"/>
  <c r="I108" i="4" s="1"/>
  <c r="H96" i="4"/>
  <c r="G112" i="4"/>
  <c r="I112" i="4" s="1"/>
  <c r="H98" i="4"/>
  <c r="G100" i="4"/>
  <c r="H111" i="4"/>
  <c r="G106" i="4"/>
  <c r="I106" i="4" s="1"/>
  <c r="H107" i="4"/>
  <c r="I67" i="4"/>
  <c r="I79" i="4"/>
  <c r="G86" i="4"/>
  <c r="G98" i="4"/>
  <c r="I98" i="4" s="1"/>
  <c r="I56" i="4"/>
  <c r="I68" i="4"/>
  <c r="H100" i="4"/>
  <c r="G101" i="4"/>
  <c r="G111" i="4"/>
  <c r="G107" i="4"/>
  <c r="I107" i="4" s="1"/>
  <c r="G99" i="4"/>
  <c r="G97" i="4"/>
  <c r="I97" i="4" s="1"/>
  <c r="H101" i="4"/>
  <c r="H84" i="4"/>
  <c r="H85" i="4"/>
  <c r="G87" i="4"/>
  <c r="H89" i="4"/>
  <c r="G85" i="4"/>
  <c r="H88" i="4"/>
  <c r="G89" i="4"/>
  <c r="G84" i="4"/>
  <c r="H90" i="4"/>
  <c r="H86" i="4"/>
  <c r="I86" i="4" s="1"/>
  <c r="G88" i="4"/>
  <c r="I66" i="4"/>
  <c r="H99" i="4"/>
  <c r="H95" i="4"/>
  <c r="I95" i="4" s="1"/>
  <c r="H87" i="4"/>
  <c r="I87" i="4" s="1"/>
  <c r="G90" i="4"/>
  <c r="G80" i="4"/>
  <c r="H145" i="5" s="1"/>
  <c r="H80" i="4"/>
  <c r="I145" i="5" s="1"/>
  <c r="I96" i="4"/>
  <c r="I109" i="4"/>
  <c r="I110" i="4"/>
  <c r="I77" i="4"/>
  <c r="I76" i="4"/>
  <c r="I78" i="4"/>
  <c r="H83" i="3"/>
  <c r="H84" i="3"/>
  <c r="G85" i="3"/>
  <c r="H87" i="3"/>
  <c r="H78" i="3"/>
  <c r="I24" i="4"/>
  <c r="I46" i="4"/>
  <c r="G84" i="3"/>
  <c r="H45" i="3"/>
  <c r="H34" i="3"/>
  <c r="I75" i="4"/>
  <c r="I74" i="4"/>
  <c r="I73" i="4"/>
  <c r="H69" i="4"/>
  <c r="I144" i="5" s="1"/>
  <c r="I64" i="4"/>
  <c r="I63" i="4"/>
  <c r="I62" i="4"/>
  <c r="G69" i="4"/>
  <c r="H144" i="5" s="1"/>
  <c r="H58" i="4"/>
  <c r="I143" i="5" s="1"/>
  <c r="I54" i="4"/>
  <c r="I53" i="4"/>
  <c r="I52" i="4"/>
  <c r="I55" i="4"/>
  <c r="I51" i="4"/>
  <c r="G58" i="4"/>
  <c r="H143" i="5" s="1"/>
  <c r="I43" i="4"/>
  <c r="I42" i="4"/>
  <c r="H47" i="4"/>
  <c r="I142" i="5" s="1"/>
  <c r="I45" i="4"/>
  <c r="I41" i="4"/>
  <c r="I44" i="4"/>
  <c r="I40" i="4"/>
  <c r="G47" i="4"/>
  <c r="H142" i="5" s="1"/>
  <c r="H36" i="4"/>
  <c r="I141" i="5" s="1"/>
  <c r="I32" i="4"/>
  <c r="I31" i="4"/>
  <c r="I34" i="4"/>
  <c r="I30" i="4"/>
  <c r="I33" i="4"/>
  <c r="I29" i="4"/>
  <c r="G36" i="4"/>
  <c r="H141" i="5" s="1"/>
  <c r="H25" i="4"/>
  <c r="I140" i="5" s="1"/>
  <c r="I21" i="4"/>
  <c r="I20" i="4"/>
  <c r="I23" i="4"/>
  <c r="I19" i="4"/>
  <c r="I22" i="4"/>
  <c r="I18" i="4"/>
  <c r="G25" i="4"/>
  <c r="H140" i="5" s="1"/>
  <c r="H56" i="3"/>
  <c r="H89" i="3"/>
  <c r="H88" i="3"/>
  <c r="H85" i="3"/>
  <c r="G86" i="3"/>
  <c r="G33" i="3"/>
  <c r="G31" i="3"/>
  <c r="G29" i="3"/>
  <c r="H86" i="3"/>
  <c r="G88" i="3"/>
  <c r="I88" i="3" s="1"/>
  <c r="G83" i="3"/>
  <c r="G87" i="3"/>
  <c r="G89" i="3"/>
  <c r="I89" i="3" s="1"/>
  <c r="H67" i="3"/>
  <c r="H29" i="3"/>
  <c r="H31" i="3"/>
  <c r="H33" i="3"/>
  <c r="G28" i="3"/>
  <c r="G30" i="3"/>
  <c r="G32" i="3"/>
  <c r="G34" i="3"/>
  <c r="H28" i="3"/>
  <c r="H30" i="3"/>
  <c r="H32" i="3"/>
  <c r="G73" i="3"/>
  <c r="G75" i="3"/>
  <c r="G77" i="3"/>
  <c r="H73" i="3"/>
  <c r="H75" i="3"/>
  <c r="H77" i="3"/>
  <c r="G72" i="3"/>
  <c r="G74" i="3"/>
  <c r="G76" i="3"/>
  <c r="G78" i="3"/>
  <c r="I78" i="3" s="1"/>
  <c r="H72" i="3"/>
  <c r="H74" i="3"/>
  <c r="H76" i="3"/>
  <c r="G62" i="3"/>
  <c r="G64" i="3"/>
  <c r="G66" i="3"/>
  <c r="H62" i="3"/>
  <c r="H64" i="3"/>
  <c r="H66" i="3"/>
  <c r="G61" i="3"/>
  <c r="G63" i="3"/>
  <c r="G65" i="3"/>
  <c r="G67" i="3"/>
  <c r="I67" i="3" s="1"/>
  <c r="H61" i="3"/>
  <c r="H63" i="3"/>
  <c r="H65" i="3"/>
  <c r="G51" i="3"/>
  <c r="G53" i="3"/>
  <c r="G55" i="3"/>
  <c r="H51" i="3"/>
  <c r="H53" i="3"/>
  <c r="H55" i="3"/>
  <c r="G50" i="3"/>
  <c r="G52" i="3"/>
  <c r="G54" i="3"/>
  <c r="G56" i="3"/>
  <c r="I56" i="3" s="1"/>
  <c r="H50" i="3"/>
  <c r="H52" i="3"/>
  <c r="H54" i="3"/>
  <c r="G39" i="3"/>
  <c r="G40" i="3"/>
  <c r="G41" i="3"/>
  <c r="G42" i="3"/>
  <c r="G43" i="3"/>
  <c r="G44" i="3"/>
  <c r="G45" i="3"/>
  <c r="H39" i="3"/>
  <c r="H40" i="3"/>
  <c r="H41" i="3"/>
  <c r="H42" i="3"/>
  <c r="H43" i="3"/>
  <c r="H44" i="3"/>
  <c r="I16" i="3"/>
  <c r="H16" i="3"/>
  <c r="G16" i="3"/>
  <c r="F16" i="3"/>
  <c r="E16" i="3"/>
  <c r="D16" i="3"/>
  <c r="C16" i="3"/>
  <c r="B16" i="3"/>
  <c r="F24" i="3"/>
  <c r="F6" i="3"/>
  <c r="E23" i="3"/>
  <c r="E22" i="3"/>
  <c r="E21" i="3"/>
  <c r="E20" i="3"/>
  <c r="E19" i="3"/>
  <c r="E18" i="3"/>
  <c r="E17" i="3"/>
  <c r="D23" i="3"/>
  <c r="D22" i="3"/>
  <c r="D21" i="3"/>
  <c r="D20" i="3"/>
  <c r="D19" i="3"/>
  <c r="D18" i="3"/>
  <c r="D17" i="3"/>
  <c r="C23" i="3"/>
  <c r="C22" i="3"/>
  <c r="C21" i="3"/>
  <c r="C20" i="3"/>
  <c r="C19" i="3"/>
  <c r="C18" i="3"/>
  <c r="C17" i="3"/>
  <c r="B23" i="3"/>
  <c r="B22" i="3"/>
  <c r="B21" i="3"/>
  <c r="B20" i="3"/>
  <c r="B19" i="3"/>
  <c r="B18" i="3"/>
  <c r="B17" i="3"/>
  <c r="G15" i="3"/>
  <c r="D15" i="3"/>
  <c r="C15" i="3"/>
  <c r="B15" i="3"/>
  <c r="B14" i="3"/>
  <c r="I45" i="3" l="1"/>
  <c r="H113" i="4"/>
  <c r="I148" i="5" s="1"/>
  <c r="I83" i="3"/>
  <c r="H102" i="4"/>
  <c r="I147" i="5" s="1"/>
  <c r="G113" i="4"/>
  <c r="H148" i="5" s="1"/>
  <c r="G102" i="4"/>
  <c r="H147" i="5" s="1"/>
  <c r="I100" i="4"/>
  <c r="I90" i="4"/>
  <c r="I111" i="4"/>
  <c r="I113" i="4" s="1"/>
  <c r="I89" i="4"/>
  <c r="I99" i="4"/>
  <c r="I101" i="4"/>
  <c r="I102" i="4" s="1"/>
  <c r="I85" i="4"/>
  <c r="I84" i="4"/>
  <c r="I88" i="4"/>
  <c r="H91" i="4"/>
  <c r="I146" i="5" s="1"/>
  <c r="I87" i="3"/>
  <c r="I75" i="3"/>
  <c r="I31" i="3"/>
  <c r="G91" i="4"/>
  <c r="H146" i="5" s="1"/>
  <c r="I80" i="4"/>
  <c r="I84" i="3"/>
  <c r="I85" i="3"/>
  <c r="I86" i="3"/>
  <c r="I77" i="3"/>
  <c r="I76" i="3"/>
  <c r="I66" i="3"/>
  <c r="I53" i="3"/>
  <c r="I30" i="3"/>
  <c r="I33" i="3"/>
  <c r="H90" i="3"/>
  <c r="I92" i="5" s="1"/>
  <c r="I29" i="3"/>
  <c r="I34" i="3"/>
  <c r="I69" i="4"/>
  <c r="I58" i="4"/>
  <c r="I47" i="4"/>
  <c r="I36" i="4"/>
  <c r="I25" i="4"/>
  <c r="I32" i="3"/>
  <c r="F72" i="3"/>
  <c r="F28" i="3"/>
  <c r="F83" i="3"/>
  <c r="F39" i="3"/>
  <c r="F61" i="3"/>
  <c r="F50" i="3"/>
  <c r="H57" i="3"/>
  <c r="I89" i="5" s="1"/>
  <c r="G90" i="3"/>
  <c r="H92" i="5" s="1"/>
  <c r="F17" i="3"/>
  <c r="H35" i="3"/>
  <c r="I87" i="5" s="1"/>
  <c r="H79" i="3"/>
  <c r="I91" i="5" s="1"/>
  <c r="I74" i="3"/>
  <c r="G79" i="3"/>
  <c r="H91" i="5" s="1"/>
  <c r="I72" i="3"/>
  <c r="I73" i="3"/>
  <c r="I63" i="3"/>
  <c r="I64" i="3"/>
  <c r="I65" i="3"/>
  <c r="I62" i="3"/>
  <c r="H68" i="3"/>
  <c r="I90" i="5" s="1"/>
  <c r="I61" i="3"/>
  <c r="G68" i="3"/>
  <c r="H90" i="5" s="1"/>
  <c r="I52" i="3"/>
  <c r="G57" i="3"/>
  <c r="H89" i="5" s="1"/>
  <c r="I50" i="3"/>
  <c r="I55" i="3"/>
  <c r="I54" i="3"/>
  <c r="I51" i="3"/>
  <c r="I44" i="3"/>
  <c r="H46" i="3"/>
  <c r="I88" i="5" s="1"/>
  <c r="I42" i="3"/>
  <c r="I41" i="3"/>
  <c r="I40" i="3"/>
  <c r="I43" i="3"/>
  <c r="I39" i="3"/>
  <c r="G46" i="3"/>
  <c r="H88" i="5" s="1"/>
  <c r="I28" i="3"/>
  <c r="G35" i="3"/>
  <c r="H87" i="5" s="1"/>
  <c r="H23" i="3"/>
  <c r="G17" i="3"/>
  <c r="H18" i="3"/>
  <c r="G21" i="3"/>
  <c r="H22" i="3"/>
  <c r="H17" i="3"/>
  <c r="G20" i="3"/>
  <c r="H21" i="3"/>
  <c r="G19" i="3"/>
  <c r="H20" i="3"/>
  <c r="G23" i="3"/>
  <c r="I23" i="3" s="1"/>
  <c r="G18" i="3"/>
  <c r="H19" i="3"/>
  <c r="G22" i="3"/>
  <c r="B3" i="3"/>
  <c r="H24" i="3" l="1"/>
  <c r="G24" i="3"/>
  <c r="H86" i="5" s="1"/>
  <c r="I91" i="4"/>
  <c r="I18" i="3"/>
  <c r="I90" i="3"/>
  <c r="I35" i="3"/>
  <c r="I22" i="3"/>
  <c r="I68" i="3"/>
  <c r="I79" i="3"/>
  <c r="I46" i="3"/>
  <c r="I57" i="3"/>
  <c r="I21" i="3"/>
  <c r="I20" i="3"/>
  <c r="I17" i="3"/>
  <c r="I19" i="3"/>
  <c r="I86" i="5"/>
  <c r="I24" i="3" l="1"/>
  <c r="H6" i="3" l="1"/>
  <c r="G6" i="3"/>
  <c r="H12" i="3" l="1"/>
  <c r="H11" i="3"/>
  <c r="H10" i="3"/>
  <c r="H9" i="3"/>
  <c r="H8" i="3"/>
  <c r="H7" i="3"/>
  <c r="H13" i="3" l="1"/>
  <c r="G12" i="3"/>
  <c r="G11" i="3"/>
  <c r="G10" i="3"/>
  <c r="I10" i="3" s="1"/>
  <c r="G9" i="3"/>
  <c r="I9" i="3" s="1"/>
  <c r="G8" i="3"/>
  <c r="G7" i="3"/>
  <c r="I7" i="3" s="1"/>
  <c r="I85" i="5" l="1"/>
  <c r="I93" i="5" s="1"/>
  <c r="I6" i="3"/>
  <c r="I11" i="3"/>
  <c r="G13" i="3"/>
  <c r="H85" i="5" s="1"/>
  <c r="I12" i="3"/>
  <c r="I8" i="3"/>
  <c r="F13" i="4"/>
  <c r="F12" i="4"/>
  <c r="F11" i="4"/>
  <c r="F10" i="4"/>
  <c r="F9" i="4"/>
  <c r="F8" i="4"/>
  <c r="F7" i="4"/>
  <c r="H93" i="5" l="1"/>
  <c r="F78" i="4"/>
  <c r="F111" i="4"/>
  <c r="F100" i="4"/>
  <c r="F67" i="4"/>
  <c r="F45" i="4"/>
  <c r="F89" i="4"/>
  <c r="F34" i="4"/>
  <c r="F56" i="4"/>
  <c r="F23" i="4"/>
  <c r="F101" i="4"/>
  <c r="F68" i="4"/>
  <c r="F46" i="4"/>
  <c r="F35" i="4"/>
  <c r="F112" i="4"/>
  <c r="F90" i="4"/>
  <c r="F57" i="4"/>
  <c r="F24" i="4"/>
  <c r="F79" i="4"/>
  <c r="F32" i="4"/>
  <c r="F98" i="4"/>
  <c r="F109" i="4"/>
  <c r="F87" i="4"/>
  <c r="F54" i="4"/>
  <c r="F21" i="4"/>
  <c r="F76" i="4"/>
  <c r="F65" i="4"/>
  <c r="F43" i="4"/>
  <c r="F74" i="4"/>
  <c r="F107" i="4"/>
  <c r="F52" i="4"/>
  <c r="F19" i="4"/>
  <c r="F96" i="4"/>
  <c r="F63" i="4"/>
  <c r="F41" i="4"/>
  <c r="F30" i="4"/>
  <c r="F85" i="4"/>
  <c r="F97" i="4"/>
  <c r="F64" i="4"/>
  <c r="F42" i="4"/>
  <c r="F75" i="4"/>
  <c r="F31" i="4"/>
  <c r="F108" i="4"/>
  <c r="F86" i="4"/>
  <c r="F53" i="4"/>
  <c r="F20" i="4"/>
  <c r="F106" i="4"/>
  <c r="F84" i="4"/>
  <c r="F51" i="4"/>
  <c r="F18" i="4"/>
  <c r="F29" i="4"/>
  <c r="F73" i="4"/>
  <c r="F95" i="4"/>
  <c r="F62" i="4"/>
  <c r="F40" i="4"/>
  <c r="F110" i="4"/>
  <c r="F88" i="4"/>
  <c r="F55" i="4"/>
  <c r="F22" i="4"/>
  <c r="F77" i="4"/>
  <c r="F99" i="4"/>
  <c r="F66" i="4"/>
  <c r="F44" i="4"/>
  <c r="F33" i="4"/>
  <c r="F12" i="3"/>
  <c r="F11" i="3"/>
  <c r="F10" i="3"/>
  <c r="F9" i="3"/>
  <c r="F8" i="3"/>
  <c r="F7" i="3"/>
  <c r="F66" i="3" l="1"/>
  <c r="F33" i="3"/>
  <c r="F88" i="3"/>
  <c r="F55" i="3"/>
  <c r="F44" i="3"/>
  <c r="F77" i="3"/>
  <c r="F22" i="3"/>
  <c r="F42" i="3"/>
  <c r="F75" i="3"/>
  <c r="F31" i="3"/>
  <c r="F64" i="3"/>
  <c r="F86" i="3"/>
  <c r="F53" i="3"/>
  <c r="F20" i="3"/>
  <c r="F76" i="3"/>
  <c r="F32" i="3"/>
  <c r="F43" i="3"/>
  <c r="F65" i="3"/>
  <c r="F87" i="3"/>
  <c r="F54" i="3"/>
  <c r="F21" i="3"/>
  <c r="F62" i="3"/>
  <c r="F73" i="3"/>
  <c r="F51" i="3"/>
  <c r="F29" i="3"/>
  <c r="F84" i="3"/>
  <c r="F40" i="3"/>
  <c r="F18" i="3"/>
  <c r="F85" i="3"/>
  <c r="F52" i="3"/>
  <c r="F63" i="3"/>
  <c r="F41" i="3"/>
  <c r="F74" i="3"/>
  <c r="F30" i="3"/>
  <c r="F19" i="3"/>
  <c r="F89" i="3"/>
  <c r="F56" i="3"/>
  <c r="F67" i="3"/>
  <c r="F45" i="3"/>
  <c r="F78" i="3"/>
  <c r="F34" i="3"/>
  <c r="F23" i="3"/>
  <c r="H11" i="4" l="1"/>
  <c r="H7" i="4"/>
  <c r="H9" i="4"/>
  <c r="H13" i="4"/>
  <c r="I13" i="4" s="1"/>
  <c r="H12" i="4"/>
  <c r="H8" i="4"/>
  <c r="H10" i="4"/>
  <c r="I13" i="3"/>
  <c r="I11" i="4" l="1"/>
  <c r="I12" i="4"/>
  <c r="I8" i="4"/>
  <c r="I7" i="4"/>
  <c r="H14" i="4"/>
  <c r="I139" i="5" s="1"/>
  <c r="I149" i="5" s="1"/>
  <c r="I10" i="4"/>
  <c r="G14" i="4"/>
  <c r="H139" i="5" s="1"/>
  <c r="H149" i="5" s="1"/>
  <c r="I9" i="4"/>
  <c r="I14" i="4" l="1"/>
</calcChain>
</file>

<file path=xl/sharedStrings.xml><?xml version="1.0" encoding="utf-8"?>
<sst xmlns="http://schemas.openxmlformats.org/spreadsheetml/2006/main" count="280" uniqueCount="78">
  <si>
    <t>TRIBUNALE ORDINARIO DI BRESCIA</t>
  </si>
  <si>
    <t>SEZIONE ESECUZIONI IMMOBILIARI</t>
  </si>
  <si>
    <t>MODULO PER LA RICHIESTA DI LIQUIDAZIONE DEL COMPENSO DELL'ESPERTO NOMINATO IN PROCEDURE ESECUTIVE IMMOBILIARI</t>
  </si>
  <si>
    <t>ESECUZIONE IMMOBILIARE N°</t>
  </si>
  <si>
    <t>GIUDICE DELL'ESECUZIONE</t>
  </si>
  <si>
    <t>L'ESPERTO</t>
  </si>
  <si>
    <t>DESCRIZIONE (TIPOLOGIA E NUMERO: ad es. 3 appartamenti/ 2 negozi...)</t>
  </si>
  <si>
    <t>UBICAZIONE</t>
  </si>
  <si>
    <t>VALORE DI STIMA</t>
  </si>
  <si>
    <t>QUOTA DEL DIRITTO</t>
  </si>
  <si>
    <t>SÌ</t>
  </si>
  <si>
    <t>NO</t>
  </si>
  <si>
    <t>Tabelle contenenti la misura degli onorari fissi e di quelli variabili dei periti e dei consulenti tecnici, per le operazioni eseguite su disposizione dell'autorità giudiziaria in materia civile e penale, in attuazione dell'art.2 della Legge 8 luglio 1980, n. 319.</t>
  </si>
  <si>
    <t>Art. 11.</t>
  </si>
  <si>
    <t>Per la perizia o la consulenza tecnica in materia di costruzioni edilizie, impianti industriali, impianti di servizi generali, impianti elettrici, macchine isolate e loro parti, ferrovie, strade e canali, opere idrauliche, acquedotti e fognature, ponti, manufatti isolati e strutture speciali, progetti di bonifica agraria e simili, spetta al perito o al consulente tecnico un onorario a percentuale calcolato per scaglioni:</t>
  </si>
  <si>
    <t>importo contenzioso</t>
  </si>
  <si>
    <t>onorario</t>
  </si>
  <si>
    <t>da:</t>
  </si>
  <si>
    <t>a:</t>
  </si>
  <si>
    <t>minimo</t>
  </si>
  <si>
    <t>massimo</t>
  </si>
  <si>
    <t>medio</t>
  </si>
  <si>
    <t>sommano:</t>
  </si>
  <si>
    <t>Art. 13.</t>
  </si>
  <si>
    <t>Per la perizia o la consulenza tecnica in materia di estimo spetta al perito o al consulente tecnico un onorario a percentuale calcolato per scaglioni sull'importo stimato:</t>
  </si>
  <si>
    <t>RIEPILOGO IMMOBILI
(lotti identificati ai fini della liquidazione e non ai fini della vendita)</t>
  </si>
  <si>
    <t>REGOLARITÀ EDILIZIA, 
URBANISTICA E CATASTALE</t>
  </si>
  <si>
    <t>x</t>
  </si>
  <si>
    <t>INSERIRE COMPENSO EX-ART. 13 D.M. 30/05/02.</t>
  </si>
  <si>
    <t>INSERIRE SPESE ESENTI IVA EX-ART. 15.</t>
  </si>
  <si>
    <t>INSERIRE EVENTUALE AUMENTO EX-ART 52 T.U. 115/02</t>
  </si>
  <si>
    <t>INSERIRE EVENTUALI ATTIVITA' INTEGRATIVE SUCCESSIVE AL DEPOSITO DELLA RELAZIONE PERITALE</t>
  </si>
  <si>
    <t>INSERIRE EVENTUALE COMPENSO EX-ART. 12 D.M. 30/05/02 COMMA 2</t>
  </si>
  <si>
    <t>INSERIRE COMPENSO EX-ART. 11 D.M. 30/05/02</t>
  </si>
  <si>
    <t>INSERIRE EVENTUALE COMPENSO EX-ART. 7 D.M. 30/05/02</t>
  </si>
  <si>
    <t>INSERIRE EVENTUALE COMPENSO EX-ART. 16 D.M. 30/05/02</t>
  </si>
  <si>
    <t>INSERIRE SPESE PER TRASFERTE</t>
  </si>
  <si>
    <t>INSERIRE SPESE PER CANCELLERIA</t>
  </si>
  <si>
    <t>SI</t>
  </si>
  <si>
    <t>INSERIRE EVENTUALE AUMENTO EX-ART 52 T.U. 115/02 *</t>
  </si>
  <si>
    <t>Scegliere dal sottostante elenco le voci che sono da inserire nel Modulo per la richiesta di liquidazione del compenso dell'esperto nominato in procedure esecutive immobiliari:</t>
  </si>
  <si>
    <t>INSERIRE COMPENSO EX-ART. 12 D.M. 30/05/02 
COMMA 1</t>
  </si>
  <si>
    <t>___</t>
  </si>
  <si>
    <t>*Eventuale aumento ex art. 52 T.U. NR. 115/2002 (da 1% a 100 %) 
(ad es per calcolo di oneri di sanatoria particolarmente onerosi, o particolare difficoltà negli accertamenti o per massa immobiliare composta da molti beni ubicati nel medesimo contesto, ad esempio 10 appartamenti nello stesso condominio)L'applicazione dell'incremento per maggiore difficoltà relativamente all'art. 12 si riferisce all'oggettiva complessità delle operazioni peritali richieste per rispondere al quesito. Un'oggettivazione, in questo caso, è estremente difficile da proporre poiché a volte il semplice numero delle unità da analizzare non è un fattore di complessità (ad es. un singolo immobile con abusi particolari, maggiori volumi realizzati, e soggetto a vincoli, potrebbe creare più problemi di tante unità in un contesto diverso). A nostro parere dovrebbe essere una delle "partite" lasciate alla discrezionalità del professionista, al quale resta l'obbligo di dare sinteticamente conto del motivo della richiesta di aumento descrivendo le operazioni svolte.</t>
  </si>
  <si>
    <t>____</t>
  </si>
  <si>
    <t>coefficienti di tariffa in %</t>
  </si>
  <si>
    <t>Commissione Interprofessionale Tecnica Autorità Giudiziaria (C.I.T.A.G.)</t>
  </si>
  <si>
    <t>I</t>
  </si>
  <si>
    <t>______</t>
  </si>
  <si>
    <t>Luogo:</t>
  </si>
  <si>
    <t>Data:</t>
  </si>
  <si>
    <t>IDENTIFICATIVO PROGRESSIVO LOTTO</t>
  </si>
  <si>
    <t>DIRITTO REALE (PROPRIETÀ, USUFRUTTO
…..)</t>
  </si>
  <si>
    <t>RIEPILOGO SPESE SOSTENUTE E COMPENSI RICHIESTI</t>
  </si>
  <si>
    <t>VOCE</t>
  </si>
  <si>
    <t>SPESE, RIMBORSATE ALL'ISTANZA</t>
  </si>
  <si>
    <t>TOTALE GENERALE SPESE (al lordo dell'acconto eventualmente ricevuto)</t>
  </si>
  <si>
    <t>SPESE DI VIAGGIO</t>
  </si>
  <si>
    <t>SPESE GENERALI DI STUDIO</t>
  </si>
  <si>
    <t>SPESE ESENTI IVA EX ART. 15</t>
  </si>
  <si>
    <t>COMPENSO EX ART. 13</t>
  </si>
  <si>
    <t>EVENTUALE AUMENTO EX ART. 52</t>
  </si>
  <si>
    <t>COMPENSO EX ART. 12 COMMA 1</t>
  </si>
  <si>
    <t>COMPENSO EX ART. 12 COMMA 2</t>
  </si>
  <si>
    <t>EVENTUALE ULTERIORE ATTIVITA' INTEGRATIVA</t>
  </si>
  <si>
    <t>COMPENSO EX ART. 11</t>
  </si>
  <si>
    <t>COMPENSO EX ART. 7</t>
  </si>
  <si>
    <t>COMPENSO EX ART. 16</t>
  </si>
  <si>
    <t xml:space="preserve">TOTALE PRESTAZIONI EFFETTUATE </t>
  </si>
  <si>
    <t xml:space="preserve">RICHIESTA ACCONTO DEL TOTALE PRESTAZIONI AI SENSI DELLA L.132/2015** </t>
  </si>
  <si>
    <t xml:space="preserve">**Nota: Art. 161 comma 3 disp. att. cpc novellato dalla Legge 6 agosto 2015 n. 132 _ "Il compenso dll'esperto o dello stimatore nominato dal giudice o ufficiale giudiziario è calcolato sul prezzo ricavato dalla vendita. Prima della vendita non possono essere liquidati acconti in misura superiore al 50% de compenso calcolato sulla base del valore di stima" </t>
  </si>
  <si>
    <t>TOTALE GENERALE COMPENSI PER PRESTAZIONI EFFETTUATE (al lordo dell'acconto eventualmente ricevuto)")</t>
  </si>
  <si>
    <t>ACCONTO DEL TOTALE PRESTAZIONI RICHIESTO AI SENSI DELLA L. 132/2015**(al lordo dell'acconto eventualmente ricevuto)")</t>
  </si>
  <si>
    <t>DOCUMENTO DA STAMPARE COME PDF (ELIMINANDO LE EVENTUALI PAGINE BIANCHE PER GLI ARTICOLI NON RICHIESTI DAL CASO SPECIFICO), FIRMARE DIGITALMENTE E DEPOSITARE TELEMATICAMENTE QUALE ISTANZA DEGLI ONORARI</t>
  </si>
  <si>
    <t>Difficoltà reperimento dati</t>
  </si>
  <si>
    <t>Irregolarità catastali e urbanistiche rilevate sul lotto n°2</t>
  </si>
  <si>
    <t>Due diligence e difficoltà reperimento dati</t>
  </si>
  <si>
    <t>IL SOTTOSCRITTO ESPERTO, RITENENDO DI AVER ESPLETATO L'INCARIO RICEVUTO, COL SEGUENTE MODULO RICHIEDE VENGANO LIQUIDATE LE PROPRIE COMPETENZE E LE SPESE SOSTENUTE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</si>
</sst>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 #,##0_-;\-&quot;€&quot;\ * #,##0_-;_-&quot;€&quot;\ * &quot;-&quot;_-;_-@_-"/>
    <numFmt numFmtId="43" formatCode="_-* #,##0.00_-;\-* #,##0.00_-;_-* &quot;-&quot;??_-;_-@_-"/>
    <numFmt numFmtId="164" formatCode="_-&quot;€ &quot;* #,##0.00_-;&quot;-€ &quot;* #,##0.00_-;_-&quot;€ &quot;* \-??_-;_-@_-"/>
    <numFmt numFmtId="165" formatCode="0&quot; km&quot;"/>
    <numFmt numFmtId="166" formatCode="0.00&quot; €/km&quot;"/>
    <numFmt numFmtId="167" formatCode="0.0000"/>
    <numFmt numFmtId="168" formatCode="_-* #,##0.0000_-;\-* #,##0.0000_-;_-* &quot;-&quot;??_-;_-@_-"/>
    <numFmt numFmtId="169" formatCode="[$-F800]dddd\,\ mmmm\ dd\,\ yyyy"/>
    <numFmt numFmtId="170" formatCode="&quot;€&quot;\ #,##0.00"/>
    <numFmt numFmtId="171" formatCode="[$€-410]\ #,##0.00;\-[$€-410]\ #,##0.00"/>
  </numFmts>
  <fonts count="59" x14ac:knownFonts="1">
    <font>
      <sz val="11"/>
      <color rgb="FF000000"/>
      <name val="Calibri"/>
      <family val="2"/>
      <charset val="1"/>
    </font>
    <font>
      <sz val="10"/>
      <name val="Arial"/>
      <family val="2"/>
      <charset val="1"/>
    </font>
    <font>
      <sz val="11"/>
      <color rgb="FF000000"/>
      <name val="Calibri"/>
      <family val="2"/>
      <charset val="1"/>
    </font>
    <font>
      <sz val="14"/>
      <name val="Arial"/>
      <family val="2"/>
    </font>
    <font>
      <sz val="10"/>
      <name val="Arial"/>
      <family val="2"/>
    </font>
    <font>
      <sz val="20"/>
      <name val="Arial"/>
      <family val="2"/>
    </font>
    <font>
      <i/>
      <sz val="10"/>
      <name val="Arial"/>
      <family val="2"/>
    </font>
    <font>
      <sz val="10"/>
      <name val="Garamond"/>
      <family val="1"/>
    </font>
    <font>
      <sz val="16"/>
      <color rgb="FF000000"/>
      <name val="Century Gothic"/>
      <family val="2"/>
    </font>
    <font>
      <sz val="12"/>
      <color rgb="FF000000"/>
      <name val="Century Gothic"/>
      <family val="2"/>
    </font>
    <font>
      <sz val="10"/>
      <color rgb="FF000000"/>
      <name val="Century Gothic"/>
      <family val="2"/>
    </font>
    <font>
      <b/>
      <sz val="16"/>
      <color rgb="FF000000"/>
      <name val="Century Gothic"/>
      <family val="2"/>
    </font>
    <font>
      <sz val="11"/>
      <name val="Calibri"/>
      <family val="2"/>
      <charset val="1"/>
    </font>
    <font>
      <sz val="9"/>
      <name val="Calibri"/>
      <family val="2"/>
      <charset val="1"/>
    </font>
    <font>
      <sz val="11"/>
      <name val="Garamond"/>
      <family val="1"/>
    </font>
    <font>
      <sz val="8"/>
      <name val="Calibri"/>
      <family val="2"/>
      <charset val="1"/>
    </font>
    <font>
      <i/>
      <sz val="8"/>
      <name val="Arial"/>
      <family val="2"/>
    </font>
    <font>
      <sz val="8"/>
      <name val="Garamond"/>
      <family val="1"/>
    </font>
    <font>
      <b/>
      <sz val="60"/>
      <color theme="0"/>
      <name val="Calibri"/>
      <family val="2"/>
    </font>
    <font>
      <b/>
      <sz val="70"/>
      <color theme="0"/>
      <name val="Calibri"/>
      <family val="2"/>
    </font>
    <font>
      <b/>
      <sz val="48"/>
      <color theme="0"/>
      <name val="Century Gothic"/>
      <family val="2"/>
    </font>
    <font>
      <sz val="11"/>
      <color rgb="FF000000"/>
      <name val="Century Gothic"/>
      <family val="2"/>
    </font>
    <font>
      <b/>
      <sz val="16"/>
      <color theme="0"/>
      <name val="Century Gothic"/>
      <family val="2"/>
    </font>
    <font>
      <sz val="14"/>
      <color rgb="FF000000"/>
      <name val="Century Gothic"/>
      <family val="2"/>
    </font>
    <font>
      <sz val="11"/>
      <color theme="0"/>
      <name val="Century Gothic"/>
      <family val="2"/>
    </font>
    <font>
      <b/>
      <sz val="20"/>
      <color rgb="FF000000"/>
      <name val="Century Gothic"/>
      <family val="2"/>
    </font>
    <font>
      <b/>
      <sz val="24"/>
      <color rgb="FF000000"/>
      <name val="Century Gothic"/>
      <family val="2"/>
    </font>
    <font>
      <b/>
      <sz val="26"/>
      <color rgb="FF000000"/>
      <name val="Century Gothic"/>
      <family val="2"/>
    </font>
    <font>
      <sz val="20"/>
      <color rgb="FF000000"/>
      <name val="Century Gothic"/>
      <family val="2"/>
    </font>
    <font>
      <b/>
      <sz val="14"/>
      <name val="Century Gothic"/>
      <family val="2"/>
    </font>
    <font>
      <b/>
      <sz val="11"/>
      <color rgb="FF000000"/>
      <name val="Century Gothic"/>
      <family val="2"/>
    </font>
    <font>
      <sz val="12"/>
      <name val="Century Gothic"/>
      <family val="2"/>
    </font>
    <font>
      <sz val="36"/>
      <color rgb="FF000000"/>
      <name val="Century Gothic"/>
      <family val="2"/>
    </font>
    <font>
      <b/>
      <sz val="11"/>
      <color theme="0"/>
      <name val="Century Gothic"/>
      <family val="2"/>
    </font>
    <font>
      <sz val="24"/>
      <color rgb="FF000000"/>
      <name val="Century Gothic"/>
      <family val="2"/>
    </font>
    <font>
      <sz val="24"/>
      <name val="Century Gothic"/>
      <family val="2"/>
    </font>
    <font>
      <b/>
      <sz val="22"/>
      <color rgb="FF000000"/>
      <name val="Century Gothic"/>
      <family val="2"/>
    </font>
    <font>
      <sz val="26"/>
      <color theme="0"/>
      <name val="Century Gothic"/>
      <family val="2"/>
    </font>
    <font>
      <sz val="26"/>
      <color rgb="FF000000"/>
      <name val="Century Gothic"/>
      <family val="2"/>
    </font>
    <font>
      <sz val="22"/>
      <color rgb="FF000000"/>
      <name val="Century Gothic"/>
      <family val="2"/>
    </font>
    <font>
      <i/>
      <sz val="22"/>
      <color rgb="FF000000"/>
      <name val="Century Gothic"/>
      <family val="2"/>
    </font>
    <font>
      <b/>
      <sz val="100"/>
      <color theme="0"/>
      <name val="Century Gothic"/>
      <family val="2"/>
    </font>
    <font>
      <sz val="12"/>
      <color theme="0"/>
      <name val="Century Gothic"/>
      <family val="2"/>
    </font>
    <font>
      <b/>
      <sz val="36"/>
      <color theme="0"/>
      <name val="Century Gothic"/>
      <family val="2"/>
    </font>
    <font>
      <b/>
      <sz val="28"/>
      <color theme="0"/>
      <name val="Century Gothic"/>
      <family val="2"/>
    </font>
    <font>
      <b/>
      <sz val="72"/>
      <color theme="0"/>
      <name val="Century Gothic"/>
      <family val="2"/>
    </font>
    <font>
      <b/>
      <sz val="120"/>
      <color theme="0"/>
      <name val="Century Gothic"/>
      <family val="2"/>
    </font>
    <font>
      <b/>
      <sz val="90"/>
      <color theme="0"/>
      <name val="Century Gothic"/>
      <family val="2"/>
    </font>
    <font>
      <sz val="22"/>
      <color theme="0"/>
      <name val="Century Gothic"/>
      <family val="2"/>
    </font>
    <font>
      <sz val="16"/>
      <color theme="0"/>
      <name val="Century Gothic"/>
      <family val="2"/>
    </font>
    <font>
      <b/>
      <sz val="14"/>
      <color rgb="FF000000"/>
      <name val="Century Gothic"/>
      <family val="2"/>
    </font>
    <font>
      <i/>
      <sz val="24"/>
      <color rgb="FF000000"/>
      <name val="Century Gothic"/>
      <family val="2"/>
    </font>
    <font>
      <b/>
      <i/>
      <sz val="24"/>
      <color rgb="FF000000"/>
      <name val="Century Gothic"/>
      <family val="2"/>
    </font>
    <font>
      <b/>
      <sz val="24"/>
      <name val="Century Gothic"/>
      <family val="2"/>
    </font>
    <font>
      <b/>
      <sz val="24"/>
      <color theme="0"/>
      <name val="Century Gothic"/>
      <family val="2"/>
    </font>
    <font>
      <i/>
      <sz val="24"/>
      <name val="Century Gothic"/>
      <family val="2"/>
    </font>
    <font>
      <sz val="24"/>
      <color theme="0"/>
      <name val="Century Gothic"/>
      <family val="2"/>
    </font>
    <font>
      <b/>
      <i/>
      <sz val="24"/>
      <name val="Century Gothic"/>
      <family val="2"/>
    </font>
    <font>
      <b/>
      <sz val="18"/>
      <color rgb="FF000000"/>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8">
    <border>
      <left/>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6">
    <xf numFmtId="169" fontId="0" fillId="0" borderId="0"/>
    <xf numFmtId="164" fontId="1" fillId="0" borderId="0" applyBorder="0" applyProtection="0"/>
    <xf numFmtId="42" fontId="2" fillId="0" borderId="0" applyFont="0" applyFill="0" applyBorder="0" applyAlignment="0" applyProtection="0"/>
    <xf numFmtId="9" fontId="2" fillId="0" borderId="0" applyFont="0" applyFill="0" applyBorder="0" applyAlignment="0" applyProtection="0"/>
    <xf numFmtId="169" fontId="4" fillId="0" borderId="0" applyFont="0" applyFill="0" applyBorder="0" applyAlignment="0" applyProtection="0"/>
    <xf numFmtId="43" fontId="2" fillId="0" borderId="0" applyFont="0" applyFill="0" applyBorder="0" applyAlignment="0" applyProtection="0"/>
  </cellStyleXfs>
  <cellXfs count="279">
    <xf numFmtId="169" fontId="0" fillId="0" borderId="0" xfId="0"/>
    <xf numFmtId="169" fontId="0" fillId="0" borderId="0" xfId="0" applyAlignment="1">
      <alignment horizontal="justify" vertical="center" wrapText="1"/>
    </xf>
    <xf numFmtId="169" fontId="0" fillId="0" borderId="0" xfId="4" applyFont="1"/>
    <xf numFmtId="167" fontId="0" fillId="0" borderId="0" xfId="0" applyNumberFormat="1"/>
    <xf numFmtId="169" fontId="0" fillId="0" borderId="0" xfId="0" applyAlignment="1">
      <alignment horizontal="left" vertical="center" wrapText="1"/>
    </xf>
    <xf numFmtId="169" fontId="9" fillId="0" borderId="0" xfId="0" applyFont="1" applyFill="1" applyAlignment="1">
      <alignment vertical="center" wrapText="1"/>
    </xf>
    <xf numFmtId="169" fontId="9" fillId="0" borderId="0" xfId="0" applyFont="1" applyFill="1" applyAlignment="1">
      <alignment vertical="center"/>
    </xf>
    <xf numFmtId="169" fontId="6" fillId="0" borderId="0" xfId="0" applyFont="1" applyAlignment="1">
      <alignment horizontal="justify" vertical="center" wrapText="1"/>
    </xf>
    <xf numFmtId="169" fontId="12" fillId="0" borderId="0" xfId="4" applyFont="1"/>
    <xf numFmtId="167" fontId="12" fillId="0" borderId="0" xfId="0" applyNumberFormat="1" applyFont="1"/>
    <xf numFmtId="167" fontId="12" fillId="0" borderId="0" xfId="0" applyNumberFormat="1" applyFont="1" applyAlignment="1">
      <alignment horizontal="right"/>
    </xf>
    <xf numFmtId="42" fontId="7" fillId="0" borderId="2" xfId="2" applyFont="1" applyFill="1" applyBorder="1" applyAlignment="1">
      <alignment horizontal="center" wrapText="1"/>
    </xf>
    <xf numFmtId="169" fontId="12" fillId="0" borderId="2" xfId="4" applyFont="1" applyFill="1" applyBorder="1" applyAlignment="1">
      <alignment horizontal="right"/>
    </xf>
    <xf numFmtId="169" fontId="7" fillId="0" borderId="2" xfId="0" applyFont="1" applyFill="1" applyBorder="1" applyAlignment="1">
      <alignment horizontal="center"/>
    </xf>
    <xf numFmtId="9" fontId="7" fillId="0" borderId="2" xfId="3" applyFont="1" applyFill="1" applyBorder="1" applyAlignment="1" applyProtection="1">
      <alignment horizontal="center"/>
      <protection locked="0"/>
    </xf>
    <xf numFmtId="169" fontId="6" fillId="0" borderId="0" xfId="0" applyFont="1" applyAlignment="1">
      <alignment horizontal="justify" vertical="center" wrapText="1"/>
    </xf>
    <xf numFmtId="42" fontId="7" fillId="0" borderId="0" xfId="2" applyFont="1" applyFill="1" applyBorder="1" applyAlignment="1">
      <alignment horizontal="center" wrapText="1"/>
    </xf>
    <xf numFmtId="169" fontId="12" fillId="0" borderId="0" xfId="4" applyFont="1" applyFill="1" applyBorder="1" applyAlignment="1">
      <alignment horizontal="right"/>
    </xf>
    <xf numFmtId="169" fontId="7" fillId="0" borderId="0" xfId="0" applyFont="1" applyFill="1" applyBorder="1" applyAlignment="1">
      <alignment horizontal="center"/>
    </xf>
    <xf numFmtId="9" fontId="7" fillId="0" borderId="0" xfId="3" applyFont="1" applyFill="1" applyBorder="1" applyAlignment="1" applyProtection="1">
      <alignment horizontal="center"/>
      <protection locked="0"/>
    </xf>
    <xf numFmtId="169" fontId="12" fillId="0" borderId="0" xfId="4" applyFont="1" applyBorder="1"/>
    <xf numFmtId="167" fontId="12" fillId="0" borderId="0" xfId="0" applyNumberFormat="1" applyFont="1" applyBorder="1"/>
    <xf numFmtId="169" fontId="14" fillId="0" borderId="0" xfId="0" applyFont="1" applyFill="1" applyBorder="1" applyAlignment="1">
      <alignment horizontal="center"/>
    </xf>
    <xf numFmtId="169" fontId="7" fillId="0" borderId="0" xfId="0" applyFont="1" applyFill="1" applyBorder="1" applyAlignment="1">
      <alignment horizontal="center"/>
    </xf>
    <xf numFmtId="169" fontId="15" fillId="0" borderId="0" xfId="4" applyFont="1" applyFill="1" applyBorder="1" applyAlignment="1">
      <alignment horizontal="right"/>
    </xf>
    <xf numFmtId="168" fontId="17" fillId="0" borderId="0" xfId="5" applyNumberFormat="1" applyFont="1" applyFill="1" applyBorder="1" applyAlignment="1">
      <alignment horizontal="center"/>
    </xf>
    <xf numFmtId="168" fontId="16" fillId="0" borderId="2" xfId="5" applyNumberFormat="1" applyFont="1" applyFill="1" applyBorder="1"/>
    <xf numFmtId="168" fontId="16" fillId="0" borderId="2" xfId="5" applyNumberFormat="1" applyFont="1" applyFill="1" applyBorder="1" applyAlignment="1">
      <alignment horizontal="right"/>
    </xf>
    <xf numFmtId="168" fontId="16" fillId="0" borderId="0" xfId="5" applyNumberFormat="1" applyFont="1" applyFill="1" applyBorder="1"/>
    <xf numFmtId="168" fontId="16" fillId="0" borderId="0" xfId="5" applyNumberFormat="1" applyFont="1" applyFill="1" applyBorder="1" applyAlignment="1">
      <alignment horizontal="right"/>
    </xf>
    <xf numFmtId="169" fontId="18" fillId="0" borderId="0" xfId="0" applyFont="1"/>
    <xf numFmtId="169" fontId="19" fillId="0" borderId="0" xfId="0" applyFont="1"/>
    <xf numFmtId="169" fontId="11" fillId="0" borderId="0" xfId="0" applyFont="1" applyFill="1" applyAlignment="1">
      <alignment horizontal="center" vertical="center" wrapText="1"/>
    </xf>
    <xf numFmtId="169" fontId="21" fillId="0" borderId="0" xfId="0" applyFont="1"/>
    <xf numFmtId="169" fontId="8" fillId="0" borderId="0" xfId="0" applyFont="1"/>
    <xf numFmtId="169" fontId="11" fillId="0" borderId="0" xfId="0" applyFont="1" applyAlignment="1">
      <alignment horizontal="center" vertical="center"/>
    </xf>
    <xf numFmtId="169" fontId="20" fillId="0" borderId="0" xfId="0" applyFont="1" applyFill="1" applyAlignment="1">
      <alignment vertical="center" wrapText="1"/>
    </xf>
    <xf numFmtId="169" fontId="24" fillId="0" borderId="0" xfId="0" applyFont="1"/>
    <xf numFmtId="169" fontId="20" fillId="0" borderId="0" xfId="0" applyFont="1" applyFill="1" applyAlignment="1">
      <alignment vertical="center"/>
    </xf>
    <xf numFmtId="169" fontId="23" fillId="0" borderId="0" xfId="1" applyNumberFormat="1" applyFont="1" applyFill="1" applyBorder="1" applyAlignment="1" applyProtection="1">
      <alignment horizontal="left" vertical="center" wrapText="1"/>
      <protection locked="0"/>
    </xf>
    <xf numFmtId="169" fontId="21" fillId="0" borderId="0" xfId="0" applyFont="1" applyFill="1" applyBorder="1" applyAlignment="1" applyProtection="1">
      <alignment horizontal="center" vertical="center" wrapText="1"/>
      <protection locked="0"/>
    </xf>
    <xf numFmtId="169" fontId="28" fillId="0" borderId="0" xfId="0" applyFont="1" applyFill="1" applyBorder="1" applyAlignment="1" applyProtection="1">
      <alignment horizontal="center" vertical="center" wrapText="1"/>
      <protection locked="0"/>
    </xf>
    <xf numFmtId="9" fontId="23" fillId="0" borderId="0" xfId="0" applyNumberFormat="1" applyFont="1" applyFill="1" applyBorder="1" applyAlignment="1" applyProtection="1">
      <alignment horizontal="center" vertical="center" wrapText="1"/>
      <protection locked="0"/>
    </xf>
    <xf numFmtId="49" fontId="10" fillId="0" borderId="0" xfId="0" applyNumberFormat="1" applyFont="1" applyFill="1" applyBorder="1" applyAlignment="1" applyProtection="1">
      <alignment horizontal="center" vertical="center" wrapText="1"/>
      <protection locked="0"/>
    </xf>
    <xf numFmtId="169" fontId="23" fillId="0" borderId="0" xfId="0" applyFont="1" applyFill="1" applyBorder="1" applyAlignment="1" applyProtection="1">
      <alignment horizontal="left" vertical="top" wrapText="1"/>
      <protection locked="0"/>
    </xf>
    <xf numFmtId="169" fontId="11" fillId="0" borderId="0" xfId="0" applyFont="1" applyFill="1" applyBorder="1" applyAlignment="1">
      <alignment horizontal="right" vertical="center" wrapText="1"/>
    </xf>
    <xf numFmtId="169" fontId="23" fillId="0" borderId="0" xfId="0" applyFont="1" applyFill="1" applyBorder="1" applyAlignment="1" applyProtection="1">
      <alignment horizontal="center" vertical="center" wrapText="1"/>
      <protection locked="0"/>
    </xf>
    <xf numFmtId="169" fontId="8" fillId="0" borderId="0" xfId="0" applyFont="1" applyFill="1" applyAlignment="1">
      <alignment vertical="center" wrapText="1"/>
    </xf>
    <xf numFmtId="169" fontId="22" fillId="0" borderId="0" xfId="0" applyFont="1" applyFill="1" applyAlignment="1">
      <alignment vertical="center" wrapText="1"/>
    </xf>
    <xf numFmtId="169" fontId="32" fillId="0" borderId="0" xfId="0" applyFont="1"/>
    <xf numFmtId="169" fontId="29" fillId="0" borderId="0" xfId="0" applyFont="1" applyFill="1" applyBorder="1" applyAlignment="1">
      <alignment horizontal="center" vertical="center" wrapText="1"/>
    </xf>
    <xf numFmtId="169" fontId="31" fillId="0" borderId="0" xfId="0" applyFont="1" applyFill="1" applyAlignment="1">
      <alignment vertical="center" wrapText="1"/>
    </xf>
    <xf numFmtId="169" fontId="30" fillId="0" borderId="0" xfId="0" applyFont="1" applyBorder="1" applyAlignment="1">
      <alignment horizontal="left" vertical="center" wrapText="1"/>
    </xf>
    <xf numFmtId="169" fontId="33" fillId="0" borderId="0" xfId="0" applyFont="1" applyFill="1" applyAlignment="1">
      <alignment vertical="center" wrapText="1"/>
    </xf>
    <xf numFmtId="164" fontId="27" fillId="0" borderId="0" xfId="0" applyNumberFormat="1" applyFont="1" applyFill="1" applyBorder="1" applyAlignment="1">
      <alignment vertical="center" shrinkToFit="1"/>
    </xf>
    <xf numFmtId="169" fontId="20" fillId="0" borderId="0" xfId="0" applyFont="1" applyFill="1" applyAlignment="1"/>
    <xf numFmtId="169" fontId="20" fillId="0" borderId="0" xfId="0" applyFont="1" applyFill="1" applyAlignment="1">
      <alignment wrapText="1"/>
    </xf>
    <xf numFmtId="169" fontId="21" fillId="0" borderId="0" xfId="0" applyFont="1" applyBorder="1"/>
    <xf numFmtId="169" fontId="23" fillId="0" borderId="0" xfId="0" applyFont="1" applyFill="1" applyBorder="1" applyAlignment="1" applyProtection="1">
      <alignment horizontal="center" vertical="center" wrapText="1"/>
      <protection locked="0"/>
    </xf>
    <xf numFmtId="169" fontId="37" fillId="0" borderId="0" xfId="0" applyFont="1"/>
    <xf numFmtId="169" fontId="38" fillId="0" borderId="0" xfId="0" applyFont="1"/>
    <xf numFmtId="169" fontId="38" fillId="0" borderId="0" xfId="0" applyFont="1" applyFill="1" applyBorder="1" applyAlignment="1" applyProtection="1">
      <alignment horizontal="center" vertical="center" wrapText="1"/>
      <protection locked="0"/>
    </xf>
    <xf numFmtId="169" fontId="38" fillId="0" borderId="0" xfId="0" applyFont="1" applyFill="1" applyBorder="1" applyAlignment="1" applyProtection="1">
      <alignment horizontal="left" vertical="top" wrapText="1"/>
      <protection locked="0"/>
    </xf>
    <xf numFmtId="49" fontId="38" fillId="0" borderId="0" xfId="0" applyNumberFormat="1" applyFont="1" applyFill="1" applyBorder="1" applyAlignment="1" applyProtection="1">
      <alignment horizontal="center" vertical="center" wrapText="1"/>
      <protection locked="0"/>
    </xf>
    <xf numFmtId="169" fontId="38" fillId="0" borderId="0" xfId="1" applyNumberFormat="1" applyFont="1" applyFill="1" applyBorder="1" applyAlignment="1" applyProtection="1">
      <alignment horizontal="left" vertical="center" wrapText="1"/>
      <protection locked="0"/>
    </xf>
    <xf numFmtId="9" fontId="38" fillId="0" borderId="0" xfId="0" applyNumberFormat="1" applyFont="1" applyFill="1" applyBorder="1" applyAlignment="1" applyProtection="1">
      <alignment horizontal="center" vertical="center" wrapText="1"/>
      <protection locked="0"/>
    </xf>
    <xf numFmtId="169" fontId="40" fillId="0" borderId="0" xfId="0" applyFont="1" applyAlignment="1">
      <alignment horizontal="justify" vertical="center" wrapText="1"/>
    </xf>
    <xf numFmtId="169" fontId="39" fillId="0" borderId="0" xfId="0" applyFont="1"/>
    <xf numFmtId="169" fontId="23" fillId="0" borderId="0" xfId="0" applyFont="1" applyFill="1" applyBorder="1" applyAlignment="1" applyProtection="1">
      <alignment horizontal="center" vertical="center" wrapText="1"/>
      <protection locked="0"/>
    </xf>
    <xf numFmtId="169" fontId="41" fillId="0" borderId="0" xfId="0" applyFont="1" applyFill="1" applyBorder="1" applyAlignment="1">
      <alignment horizontal="center" vertical="center" wrapText="1"/>
    </xf>
    <xf numFmtId="169" fontId="42" fillId="0" borderId="0" xfId="0" applyFont="1" applyAlignment="1">
      <alignment horizontal="center" vertical="center"/>
    </xf>
    <xf numFmtId="169" fontId="43" fillId="0" borderId="0" xfId="0" applyFont="1" applyFill="1" applyAlignment="1">
      <alignment horizontal="center" vertical="center" wrapText="1"/>
    </xf>
    <xf numFmtId="169" fontId="44" fillId="0" borderId="0" xfId="0" applyFont="1" applyFill="1" applyAlignment="1">
      <alignment horizontal="center" vertical="center" wrapText="1"/>
    </xf>
    <xf numFmtId="169" fontId="24" fillId="0" borderId="0" xfId="0" applyFont="1" applyAlignment="1">
      <alignment horizontal="center" vertical="center"/>
    </xf>
    <xf numFmtId="169" fontId="45" fillId="0" borderId="0" xfId="0" applyFont="1" applyFill="1" applyAlignment="1">
      <alignment horizontal="center" vertical="center" wrapText="1"/>
    </xf>
    <xf numFmtId="169" fontId="20" fillId="0" borderId="0" xfId="0" applyFont="1" applyFill="1" applyAlignment="1">
      <alignment horizontal="center" vertical="center" wrapText="1"/>
    </xf>
    <xf numFmtId="169" fontId="42" fillId="0" borderId="0" xfId="0" applyFont="1" applyFill="1" applyBorder="1" applyAlignment="1">
      <alignment horizontal="center" vertical="center" wrapText="1"/>
    </xf>
    <xf numFmtId="169" fontId="20" fillId="0" borderId="0" xfId="0" applyFont="1" applyFill="1" applyBorder="1" applyAlignment="1">
      <alignment horizontal="center" vertical="center" wrapText="1"/>
    </xf>
    <xf numFmtId="169" fontId="43" fillId="0" borderId="0" xfId="0" applyFont="1" applyFill="1" applyBorder="1" applyAlignment="1">
      <alignment horizontal="center" vertical="center" wrapText="1"/>
    </xf>
    <xf numFmtId="169" fontId="45" fillId="0" borderId="0" xfId="0" applyFont="1" applyFill="1" applyBorder="1" applyAlignment="1">
      <alignment horizontal="center" vertical="center" wrapText="1"/>
    </xf>
    <xf numFmtId="169" fontId="46" fillId="0" borderId="0" xfId="0" applyFont="1" applyFill="1" applyBorder="1" applyAlignment="1">
      <alignment horizontal="center" vertical="center" wrapText="1"/>
    </xf>
    <xf numFmtId="169" fontId="47" fillId="0" borderId="0" xfId="0" applyFont="1" applyFill="1" applyBorder="1" applyAlignment="1">
      <alignment horizontal="center" vertical="center" wrapText="1"/>
    </xf>
    <xf numFmtId="169" fontId="48" fillId="0" borderId="0" xfId="0" applyFont="1" applyFill="1" applyBorder="1" applyAlignment="1">
      <alignment horizontal="center" vertical="center" wrapText="1"/>
    </xf>
    <xf numFmtId="169" fontId="49" fillId="0" borderId="0" xfId="0" applyFont="1"/>
    <xf numFmtId="169" fontId="22" fillId="0" borderId="0" xfId="0" applyFont="1" applyAlignment="1">
      <alignment horizontal="center" vertical="center"/>
    </xf>
    <xf numFmtId="169" fontId="24" fillId="0" borderId="0" xfId="0" applyFont="1" applyAlignment="1">
      <alignment vertical="center"/>
    </xf>
    <xf numFmtId="169" fontId="11" fillId="0" borderId="16" xfId="0" applyFont="1" applyBorder="1" applyAlignment="1">
      <alignment horizontal="left" vertical="center" wrapText="1"/>
    </xf>
    <xf numFmtId="169" fontId="27" fillId="2" borderId="17" xfId="0" applyFont="1" applyFill="1" applyBorder="1" applyAlignment="1" applyProtection="1">
      <alignment horizontal="center" vertical="center"/>
      <protection locked="0"/>
    </xf>
    <xf numFmtId="169" fontId="11" fillId="0" borderId="20" xfId="0" applyFont="1" applyBorder="1" applyAlignment="1">
      <alignment horizontal="left" vertical="center" wrapText="1"/>
    </xf>
    <xf numFmtId="169" fontId="27" fillId="2" borderId="21" xfId="0" applyFont="1" applyFill="1" applyBorder="1" applyAlignment="1" applyProtection="1">
      <alignment horizontal="center" vertical="center"/>
    </xf>
    <xf numFmtId="169" fontId="27" fillId="2" borderId="21" xfId="0" applyFont="1" applyFill="1" applyBorder="1" applyAlignment="1" applyProtection="1">
      <alignment horizontal="center" vertical="center"/>
      <protection locked="0"/>
    </xf>
    <xf numFmtId="49" fontId="34" fillId="0" borderId="2" xfId="0" applyNumberFormat="1" applyFont="1" applyFill="1" applyBorder="1" applyAlignment="1" applyProtection="1">
      <alignment horizontal="center" vertical="center" shrinkToFit="1"/>
      <protection locked="0"/>
    </xf>
    <xf numFmtId="49" fontId="34" fillId="0" borderId="6" xfId="0" applyNumberFormat="1" applyFont="1" applyFill="1" applyBorder="1" applyAlignment="1" applyProtection="1">
      <alignment horizontal="center" vertical="center" shrinkToFit="1"/>
      <protection locked="0"/>
    </xf>
    <xf numFmtId="170" fontId="4" fillId="0" borderId="2" xfId="4" applyNumberFormat="1" applyFont="1" applyFill="1" applyBorder="1" applyAlignment="1">
      <alignment horizontal="right"/>
    </xf>
    <xf numFmtId="170" fontId="4" fillId="0" borderId="2" xfId="0" applyNumberFormat="1" applyFont="1" applyFill="1" applyBorder="1"/>
    <xf numFmtId="170" fontId="4" fillId="0" borderId="8" xfId="4" applyNumberFormat="1" applyFont="1" applyBorder="1"/>
    <xf numFmtId="170" fontId="4" fillId="0" borderId="0" xfId="4" applyNumberFormat="1" applyFont="1" applyFill="1" applyBorder="1" applyAlignment="1">
      <alignment horizontal="right"/>
    </xf>
    <xf numFmtId="170" fontId="4" fillId="0" borderId="0" xfId="0" applyNumberFormat="1" applyFont="1" applyFill="1" applyBorder="1"/>
    <xf numFmtId="170" fontId="4" fillId="0" borderId="0" xfId="4" applyNumberFormat="1" applyFont="1" applyBorder="1"/>
    <xf numFmtId="170" fontId="15" fillId="0" borderId="2" xfId="4" applyNumberFormat="1" applyFont="1" applyFill="1" applyBorder="1"/>
    <xf numFmtId="170" fontId="15" fillId="0" borderId="0" xfId="4" applyNumberFormat="1" applyFont="1" applyFill="1" applyBorder="1" applyAlignment="1">
      <alignment horizontal="right"/>
    </xf>
    <xf numFmtId="170" fontId="7" fillId="0" borderId="2" xfId="4" applyNumberFormat="1" applyFont="1" applyFill="1" applyBorder="1" applyProtection="1">
      <protection locked="0"/>
    </xf>
    <xf numFmtId="170" fontId="7" fillId="0" borderId="0" xfId="4" applyNumberFormat="1" applyFont="1" applyFill="1" applyBorder="1" applyProtection="1">
      <protection locked="0"/>
    </xf>
    <xf numFmtId="170" fontId="13" fillId="0" borderId="0" xfId="4" applyNumberFormat="1" applyFont="1" applyFill="1" applyBorder="1" applyAlignment="1">
      <alignment horizontal="right"/>
    </xf>
    <xf numFmtId="4" fontId="4" fillId="0" borderId="0" xfId="4" applyNumberFormat="1" applyFont="1" applyBorder="1"/>
    <xf numFmtId="4" fontId="7" fillId="0" borderId="0" xfId="4" applyNumberFormat="1" applyFont="1" applyFill="1" applyBorder="1" applyProtection="1">
      <protection locked="0"/>
    </xf>
    <xf numFmtId="4" fontId="15" fillId="0" borderId="0" xfId="4" applyNumberFormat="1" applyFont="1" applyFill="1" applyBorder="1" applyAlignment="1">
      <alignment horizontal="right"/>
    </xf>
    <xf numFmtId="49" fontId="27" fillId="2" borderId="1" xfId="0" applyNumberFormat="1" applyFont="1" applyFill="1" applyBorder="1" applyAlignment="1" applyProtection="1">
      <alignment horizontal="left" vertical="center" shrinkToFit="1"/>
      <protection locked="0"/>
    </xf>
    <xf numFmtId="169" fontId="50" fillId="0" borderId="18" xfId="0" applyFont="1" applyBorder="1" applyAlignment="1">
      <alignment horizontal="left" vertical="center" wrapText="1"/>
    </xf>
    <xf numFmtId="49" fontId="34" fillId="0" borderId="2" xfId="0" applyNumberFormat="1" applyFont="1" applyFill="1" applyBorder="1" applyAlignment="1" applyProtection="1">
      <alignment horizontal="center" vertical="center" wrapText="1" shrinkToFit="1"/>
      <protection locked="0"/>
    </xf>
    <xf numFmtId="171" fontId="34" fillId="0" borderId="2" xfId="1" applyNumberFormat="1" applyFont="1" applyFill="1" applyBorder="1" applyAlignment="1" applyProtection="1">
      <alignment horizontal="left" vertical="center" shrinkToFit="1"/>
      <protection locked="0"/>
    </xf>
    <xf numFmtId="9" fontId="34" fillId="0" borderId="2" xfId="0" applyNumberFormat="1" applyFont="1" applyFill="1" applyBorder="1" applyAlignment="1" applyProtection="1">
      <alignment horizontal="center" vertical="center" shrinkToFit="1"/>
      <protection locked="0"/>
    </xf>
    <xf numFmtId="170" fontId="34" fillId="0" borderId="2" xfId="0" applyNumberFormat="1" applyFont="1" applyFill="1" applyBorder="1" applyAlignment="1" applyProtection="1">
      <alignment horizontal="right" vertical="center" shrinkToFit="1"/>
      <protection locked="0"/>
    </xf>
    <xf numFmtId="169" fontId="27" fillId="2" borderId="19" xfId="0" applyFont="1" applyFill="1" applyBorder="1" applyAlignment="1" applyProtection="1">
      <alignment horizontal="center" vertical="center"/>
      <protection locked="0"/>
    </xf>
    <xf numFmtId="169" fontId="26" fillId="0" borderId="2" xfId="0" applyFont="1" applyFill="1" applyBorder="1" applyAlignment="1">
      <alignment horizontal="center" vertical="center" wrapText="1"/>
    </xf>
    <xf numFmtId="169" fontId="39" fillId="0" borderId="0" xfId="0" applyFont="1" applyAlignment="1">
      <alignment horizontal="center" wrapText="1"/>
    </xf>
    <xf numFmtId="1" fontId="34" fillId="0" borderId="2" xfId="0" applyNumberFormat="1" applyFont="1" applyFill="1" applyBorder="1" applyAlignment="1" applyProtection="1">
      <alignment horizontal="center" vertical="center" wrapText="1"/>
      <protection locked="0"/>
    </xf>
    <xf numFmtId="2" fontId="34" fillId="0" borderId="2" xfId="0" applyNumberFormat="1" applyFont="1" applyFill="1" applyBorder="1" applyAlignment="1" applyProtection="1">
      <alignment horizontal="center" vertical="center" shrinkToFit="1"/>
      <protection locked="0"/>
    </xf>
    <xf numFmtId="4" fontId="34" fillId="0" borderId="2" xfId="0" applyNumberFormat="1" applyFont="1" applyFill="1" applyBorder="1" applyAlignment="1" applyProtection="1">
      <alignment horizontal="center" vertical="center" shrinkToFit="1"/>
      <protection locked="0"/>
    </xf>
    <xf numFmtId="170" fontId="35" fillId="0" borderId="2" xfId="1" applyNumberFormat="1" applyFont="1" applyFill="1" applyBorder="1" applyAlignment="1" applyProtection="1">
      <alignment horizontal="center" vertical="center" shrinkToFit="1"/>
      <protection locked="0"/>
    </xf>
    <xf numFmtId="170" fontId="51" fillId="0" borderId="2" xfId="0" applyNumberFormat="1" applyFont="1" applyFill="1" applyBorder="1" applyAlignment="1">
      <alignment vertical="center" shrinkToFit="1"/>
    </xf>
    <xf numFmtId="164" fontId="52" fillId="0" borderId="0" xfId="0" applyNumberFormat="1" applyFont="1" applyFill="1" applyBorder="1" applyAlignment="1">
      <alignment vertical="center" shrinkToFit="1"/>
    </xf>
    <xf numFmtId="170" fontId="34" fillId="0" borderId="2" xfId="0" applyNumberFormat="1" applyFont="1" applyFill="1" applyBorder="1" applyAlignment="1" applyProtection="1">
      <alignment vertical="center" shrinkToFit="1"/>
      <protection locked="0"/>
    </xf>
    <xf numFmtId="169" fontId="34" fillId="0" borderId="0" xfId="0" applyFont="1"/>
    <xf numFmtId="169" fontId="34" fillId="0" borderId="0" xfId="0" applyFont="1" applyBorder="1"/>
    <xf numFmtId="169" fontId="34" fillId="0" borderId="2" xfId="0" applyFont="1" applyFill="1" applyBorder="1" applyAlignment="1">
      <alignment vertical="center" wrapText="1"/>
    </xf>
    <xf numFmtId="49" fontId="34" fillId="0" borderId="2" xfId="0" applyNumberFormat="1" applyFont="1" applyFill="1" applyBorder="1" applyAlignment="1" applyProtection="1">
      <alignment vertical="center" wrapText="1"/>
      <protection locked="0"/>
    </xf>
    <xf numFmtId="9" fontId="34" fillId="0" borderId="2" xfId="0" applyNumberFormat="1" applyFont="1" applyFill="1" applyBorder="1" applyAlignment="1" applyProtection="1">
      <alignment horizontal="center" vertical="center" wrapText="1"/>
      <protection locked="0"/>
    </xf>
    <xf numFmtId="169" fontId="34" fillId="0" borderId="0" xfId="0" applyFont="1" applyFill="1" applyBorder="1" applyAlignment="1" applyProtection="1">
      <alignment horizontal="center" vertical="center" wrapText="1"/>
      <protection locked="0"/>
    </xf>
    <xf numFmtId="169" fontId="34" fillId="0" borderId="0" xfId="0" applyFont="1" applyFill="1" applyBorder="1" applyAlignment="1" applyProtection="1">
      <alignment horizontal="left" vertical="top" wrapText="1"/>
      <protection locked="0"/>
    </xf>
    <xf numFmtId="49" fontId="34" fillId="0" borderId="0" xfId="0" applyNumberFormat="1" applyFont="1" applyFill="1" applyBorder="1" applyAlignment="1" applyProtection="1">
      <alignment horizontal="center" vertical="center" wrapText="1"/>
      <protection locked="0"/>
    </xf>
    <xf numFmtId="169" fontId="34" fillId="0" borderId="0" xfId="1" applyNumberFormat="1" applyFont="1" applyFill="1" applyBorder="1" applyAlignment="1" applyProtection="1">
      <alignment horizontal="left" vertical="center" wrapText="1"/>
      <protection locked="0"/>
    </xf>
    <xf numFmtId="9" fontId="34" fillId="0" borderId="0" xfId="0" applyNumberFormat="1" applyFont="1" applyFill="1" applyBorder="1" applyAlignment="1" applyProtection="1">
      <alignment horizontal="center" vertical="center" wrapText="1"/>
      <protection locked="0"/>
    </xf>
    <xf numFmtId="170" fontId="35" fillId="0" borderId="2" xfId="1" applyNumberFormat="1" applyFont="1" applyFill="1" applyBorder="1" applyAlignment="1" applyProtection="1">
      <alignment shrinkToFit="1"/>
      <protection locked="0"/>
    </xf>
    <xf numFmtId="169" fontId="34" fillId="0" borderId="0" xfId="0" applyFont="1" applyFill="1" applyBorder="1" applyAlignment="1">
      <alignment vertical="center" wrapText="1"/>
    </xf>
    <xf numFmtId="169" fontId="34" fillId="0" borderId="2" xfId="0" applyFont="1" applyFill="1" applyBorder="1" applyAlignment="1">
      <alignment horizontal="right" vertical="center" wrapText="1"/>
    </xf>
    <xf numFmtId="169" fontId="26" fillId="0" borderId="2" xfId="0" applyFont="1" applyFill="1" applyBorder="1" applyAlignment="1" applyProtection="1">
      <alignment horizontal="center" vertical="center" wrapText="1"/>
      <protection hidden="1"/>
    </xf>
    <xf numFmtId="169" fontId="52" fillId="0" borderId="2" xfId="0" applyFont="1" applyFill="1" applyBorder="1" applyAlignment="1" applyProtection="1">
      <alignment horizontal="center" vertical="center" wrapText="1"/>
      <protection hidden="1"/>
    </xf>
    <xf numFmtId="165" fontId="51" fillId="0" borderId="2" xfId="0" applyNumberFormat="1" applyFont="1" applyFill="1" applyBorder="1" applyAlignment="1" applyProtection="1">
      <alignment horizontal="center" vertical="center" shrinkToFit="1"/>
      <protection hidden="1"/>
    </xf>
    <xf numFmtId="170" fontId="51" fillId="0" borderId="2" xfId="0" applyNumberFormat="1" applyFont="1" applyFill="1" applyBorder="1" applyAlignment="1" applyProtection="1">
      <alignment horizontal="center" vertical="center" shrinkToFit="1"/>
      <protection hidden="1"/>
    </xf>
    <xf numFmtId="166" fontId="26" fillId="0" borderId="2" xfId="0" applyNumberFormat="1" applyFont="1" applyFill="1" applyBorder="1" applyAlignment="1" applyProtection="1">
      <alignment horizontal="center" vertical="center" wrapText="1"/>
      <protection hidden="1"/>
    </xf>
    <xf numFmtId="164" fontId="52" fillId="0" borderId="2" xfId="0" applyNumberFormat="1" applyFont="1" applyFill="1" applyBorder="1" applyAlignment="1" applyProtection="1">
      <alignment horizontal="center" vertical="center" wrapText="1"/>
      <protection hidden="1"/>
    </xf>
    <xf numFmtId="169" fontId="26" fillId="0" borderId="6" xfId="0" applyFont="1" applyFill="1" applyBorder="1" applyAlignment="1" applyProtection="1">
      <alignment horizontal="center" vertical="center" wrapText="1"/>
      <protection hidden="1"/>
    </xf>
    <xf numFmtId="170" fontId="51" fillId="0" borderId="2" xfId="1" applyNumberFormat="1" applyFont="1" applyFill="1" applyBorder="1" applyAlignment="1" applyProtection="1">
      <alignment horizontal="right" vertical="center" shrinkToFit="1"/>
      <protection hidden="1"/>
    </xf>
    <xf numFmtId="170" fontId="52" fillId="0" borderId="2" xfId="0" applyNumberFormat="1" applyFont="1" applyFill="1" applyBorder="1" applyAlignment="1" applyProtection="1">
      <alignment horizontal="right" vertical="center" shrinkToFit="1"/>
      <protection hidden="1"/>
    </xf>
    <xf numFmtId="170" fontId="26" fillId="0" borderId="2" xfId="0" applyNumberFormat="1" applyFont="1" applyFill="1" applyBorder="1" applyAlignment="1" applyProtection="1">
      <alignment vertical="center" shrinkToFit="1"/>
      <protection hidden="1"/>
    </xf>
    <xf numFmtId="169" fontId="34" fillId="0" borderId="2" xfId="0" applyFont="1" applyFill="1" applyBorder="1" applyAlignment="1" applyProtection="1">
      <alignment vertical="center" wrapText="1"/>
      <protection hidden="1"/>
    </xf>
    <xf numFmtId="4" fontId="34" fillId="0" borderId="2" xfId="0" applyNumberFormat="1" applyFont="1" applyFill="1" applyBorder="1" applyAlignment="1" applyProtection="1">
      <alignment horizontal="right" vertical="center" wrapText="1"/>
      <protection hidden="1"/>
    </xf>
    <xf numFmtId="170" fontId="55" fillId="0" borderId="2" xfId="1" applyNumberFormat="1" applyFont="1" applyFill="1" applyBorder="1" applyAlignment="1" applyProtection="1">
      <alignment horizontal="center" vertical="center" shrinkToFit="1"/>
      <protection hidden="1"/>
    </xf>
    <xf numFmtId="170" fontId="57" fillId="0" borderId="2" xfId="1" applyNumberFormat="1" applyFont="1" applyFill="1" applyBorder="1" applyAlignment="1" applyProtection="1">
      <alignment horizontal="center" vertical="center" shrinkToFit="1"/>
      <protection hidden="1"/>
    </xf>
    <xf numFmtId="170" fontId="53" fillId="0" borderId="2" xfId="1" applyNumberFormat="1" applyFont="1" applyFill="1" applyBorder="1" applyAlignment="1" applyProtection="1">
      <alignment horizontal="center" vertical="center" shrinkToFit="1"/>
      <protection hidden="1"/>
    </xf>
    <xf numFmtId="170" fontId="35" fillId="0" borderId="2" xfId="1" applyNumberFormat="1" applyFont="1" applyFill="1" applyBorder="1" applyAlignment="1" applyProtection="1">
      <alignment horizontal="center" vertical="center" shrinkToFit="1"/>
    </xf>
    <xf numFmtId="49" fontId="34" fillId="0" borderId="2" xfId="0" applyNumberFormat="1" applyFont="1" applyFill="1" applyBorder="1" applyAlignment="1" applyProtection="1">
      <alignment horizontal="left" vertical="center" shrinkToFit="1"/>
      <protection locked="0"/>
    </xf>
    <xf numFmtId="169" fontId="26" fillId="0" borderId="10" xfId="0" applyFont="1" applyFill="1" applyBorder="1" applyAlignment="1" applyProtection="1">
      <alignment horizontal="right" vertical="center" wrapText="1"/>
      <protection hidden="1"/>
    </xf>
    <xf numFmtId="169" fontId="26" fillId="0" borderId="2" xfId="0" applyFont="1" applyFill="1" applyBorder="1" applyAlignment="1" applyProtection="1">
      <alignment horizontal="right" vertical="center" wrapText="1"/>
      <protection hidden="1"/>
    </xf>
    <xf numFmtId="169" fontId="26" fillId="0" borderId="8" xfId="0" applyFont="1" applyFill="1" applyBorder="1" applyAlignment="1" applyProtection="1">
      <alignment horizontal="center" vertical="center" wrapText="1"/>
      <protection hidden="1"/>
    </xf>
    <xf numFmtId="169" fontId="26" fillId="0" borderId="2" xfId="0" applyFont="1" applyFill="1" applyBorder="1" applyAlignment="1" applyProtection="1">
      <alignment horizontal="center" vertical="center" wrapText="1"/>
      <protection hidden="1"/>
    </xf>
    <xf numFmtId="169" fontId="34" fillId="0" borderId="2" xfId="0" applyFont="1" applyFill="1" applyBorder="1" applyAlignment="1" applyProtection="1">
      <alignment horizontal="right" vertical="center" wrapText="1"/>
      <protection hidden="1"/>
    </xf>
    <xf numFmtId="169" fontId="34" fillId="0" borderId="11" xfId="0" applyFont="1" applyFill="1" applyBorder="1" applyAlignment="1" applyProtection="1">
      <alignment horizontal="left" vertical="center" wrapText="1"/>
      <protection hidden="1"/>
    </xf>
    <xf numFmtId="169" fontId="34" fillId="0" borderId="7" xfId="0" applyFont="1" applyFill="1" applyBorder="1" applyAlignment="1" applyProtection="1">
      <alignment horizontal="left" vertical="center" wrapText="1"/>
      <protection hidden="1"/>
    </xf>
    <xf numFmtId="169" fontId="34" fillId="0" borderId="12" xfId="0" applyFont="1" applyFill="1" applyBorder="1" applyAlignment="1" applyProtection="1">
      <alignment horizontal="left" vertical="center" wrapText="1"/>
      <protection hidden="1"/>
    </xf>
    <xf numFmtId="169" fontId="34" fillId="0" borderId="2" xfId="0" applyFont="1" applyFill="1" applyBorder="1" applyAlignment="1" applyProtection="1">
      <alignment horizontal="left" vertical="center" wrapText="1"/>
      <protection hidden="1"/>
    </xf>
    <xf numFmtId="49" fontId="34" fillId="0" borderId="2" xfId="0" applyNumberFormat="1" applyFont="1" applyFill="1" applyBorder="1" applyAlignment="1" applyProtection="1">
      <alignment horizontal="left" vertical="center" wrapText="1"/>
      <protection locked="0"/>
    </xf>
    <xf numFmtId="169" fontId="34" fillId="0" borderId="2" xfId="0" applyFont="1" applyFill="1" applyBorder="1" applyAlignment="1" applyProtection="1">
      <alignment horizontal="center" vertical="center" wrapText="1"/>
      <protection hidden="1"/>
    </xf>
    <xf numFmtId="170" fontId="34" fillId="0" borderId="2" xfId="0" applyNumberFormat="1" applyFont="1" applyFill="1" applyBorder="1" applyAlignment="1" applyProtection="1">
      <alignment horizontal="center" vertical="center" wrapText="1"/>
      <protection locked="0"/>
    </xf>
    <xf numFmtId="170" fontId="53" fillId="0" borderId="2" xfId="1" applyNumberFormat="1" applyFont="1" applyFill="1" applyBorder="1" applyAlignment="1" applyProtection="1">
      <alignment horizontal="center" vertical="center" shrinkToFit="1"/>
      <protection locked="0"/>
    </xf>
    <xf numFmtId="49" fontId="34" fillId="0" borderId="4" xfId="0" applyNumberFormat="1" applyFont="1" applyFill="1" applyBorder="1" applyAlignment="1" applyProtection="1">
      <alignment horizontal="left" vertical="center" shrinkToFit="1"/>
      <protection locked="0"/>
    </xf>
    <xf numFmtId="49" fontId="34" fillId="0" borderId="6" xfId="0" applyNumberFormat="1" applyFont="1" applyFill="1" applyBorder="1" applyAlignment="1" applyProtection="1">
      <alignment horizontal="left" vertical="center" shrinkToFit="1"/>
      <protection locked="0"/>
    </xf>
    <xf numFmtId="169" fontId="34" fillId="0" borderId="2" xfId="0" applyFont="1" applyFill="1" applyBorder="1" applyAlignment="1">
      <alignment horizontal="right" vertical="center" wrapText="1"/>
    </xf>
    <xf numFmtId="170" fontId="26" fillId="0" borderId="2" xfId="0" applyNumberFormat="1" applyFont="1" applyFill="1" applyBorder="1" applyAlignment="1" applyProtection="1">
      <alignment horizontal="right" vertical="center" shrinkToFit="1"/>
      <protection hidden="1"/>
    </xf>
    <xf numFmtId="169" fontId="34" fillId="0" borderId="2" xfId="0" applyFont="1" applyFill="1" applyBorder="1" applyAlignment="1">
      <alignment horizontal="center" vertical="center" wrapText="1"/>
    </xf>
    <xf numFmtId="169" fontId="34" fillId="0" borderId="4" xfId="0" applyFont="1" applyFill="1" applyBorder="1" applyAlignment="1" applyProtection="1">
      <alignment horizontal="center" vertical="top" shrinkToFit="1"/>
      <protection locked="0"/>
    </xf>
    <xf numFmtId="169" fontId="34" fillId="0" borderId="5" xfId="0" applyFont="1" applyFill="1" applyBorder="1" applyAlignment="1" applyProtection="1">
      <alignment horizontal="center" vertical="top" shrinkToFit="1"/>
      <protection locked="0"/>
    </xf>
    <xf numFmtId="169" fontId="34" fillId="0" borderId="6" xfId="0" applyFont="1" applyFill="1" applyBorder="1" applyAlignment="1" applyProtection="1">
      <alignment horizontal="center" vertical="top" shrinkToFit="1"/>
      <protection locked="0"/>
    </xf>
    <xf numFmtId="169" fontId="34" fillId="0" borderId="9" xfId="0" quotePrefix="1" applyFont="1" applyFill="1" applyBorder="1" applyAlignment="1" applyProtection="1">
      <alignment horizontal="left" vertical="center" wrapText="1"/>
      <protection hidden="1"/>
    </xf>
    <xf numFmtId="169" fontId="34" fillId="0" borderId="0" xfId="0" applyFont="1" applyFill="1" applyBorder="1" applyAlignment="1" applyProtection="1">
      <alignment horizontal="left" vertical="center" wrapText="1"/>
      <protection hidden="1"/>
    </xf>
    <xf numFmtId="169" fontId="34" fillId="0" borderId="13" xfId="0" applyFont="1" applyFill="1" applyBorder="1" applyAlignment="1" applyProtection="1">
      <alignment horizontal="left" vertical="center" wrapText="1"/>
      <protection hidden="1"/>
    </xf>
    <xf numFmtId="169" fontId="34" fillId="0" borderId="9" xfId="0" applyFont="1" applyFill="1" applyBorder="1" applyAlignment="1" applyProtection="1">
      <alignment horizontal="left" vertical="center" wrapText="1"/>
      <protection hidden="1"/>
    </xf>
    <xf numFmtId="169" fontId="34" fillId="0" borderId="9" xfId="0" applyFont="1" applyFill="1" applyBorder="1" applyAlignment="1" applyProtection="1">
      <alignment horizontal="left" vertical="top" wrapText="1"/>
      <protection hidden="1"/>
    </xf>
    <xf numFmtId="169" fontId="34" fillId="0" borderId="0" xfId="0" applyFont="1" applyFill="1" applyBorder="1" applyAlignment="1" applyProtection="1">
      <alignment horizontal="left" vertical="top" wrapText="1"/>
      <protection hidden="1"/>
    </xf>
    <xf numFmtId="169" fontId="34" fillId="0" borderId="13" xfId="0" applyFont="1" applyFill="1" applyBorder="1" applyAlignment="1" applyProtection="1">
      <alignment horizontal="left" vertical="top" wrapText="1"/>
      <protection hidden="1"/>
    </xf>
    <xf numFmtId="169" fontId="56" fillId="0" borderId="9" xfId="0" quotePrefix="1" applyFont="1" applyFill="1" applyBorder="1" applyAlignment="1" applyProtection="1">
      <alignment horizontal="left" wrapText="1"/>
      <protection hidden="1"/>
    </xf>
    <xf numFmtId="169" fontId="56" fillId="0" borderId="0" xfId="0" applyFont="1" applyFill="1" applyBorder="1" applyAlignment="1" applyProtection="1">
      <alignment horizontal="left" wrapText="1"/>
      <protection hidden="1"/>
    </xf>
    <xf numFmtId="169" fontId="56" fillId="0" borderId="13" xfId="0" applyFont="1" applyFill="1" applyBorder="1" applyAlignment="1" applyProtection="1">
      <alignment horizontal="left" wrapText="1"/>
      <protection hidden="1"/>
    </xf>
    <xf numFmtId="169" fontId="56" fillId="0" borderId="9" xfId="0" applyFont="1" applyFill="1" applyBorder="1" applyAlignment="1" applyProtection="1">
      <alignment horizontal="left" wrapText="1"/>
      <protection hidden="1"/>
    </xf>
    <xf numFmtId="49" fontId="35" fillId="0" borderId="2" xfId="1" applyNumberFormat="1" applyFont="1" applyFill="1" applyBorder="1" applyAlignment="1" applyProtection="1">
      <alignment horizontal="left" vertical="center" shrinkToFit="1"/>
      <protection locked="0"/>
    </xf>
    <xf numFmtId="170" fontId="35" fillId="0" borderId="2" xfId="1" applyNumberFormat="1" applyFont="1" applyFill="1" applyBorder="1" applyAlignment="1" applyProtection="1">
      <alignment horizontal="center" vertical="center" shrinkToFit="1"/>
      <protection locked="0"/>
    </xf>
    <xf numFmtId="169" fontId="56" fillId="0" borderId="9" xfId="0" applyFont="1" applyFill="1" applyBorder="1" applyAlignment="1">
      <alignment horizontal="left" wrapText="1"/>
    </xf>
    <xf numFmtId="169" fontId="56" fillId="0" borderId="0" xfId="0" applyFont="1" applyFill="1" applyBorder="1" applyAlignment="1">
      <alignment horizontal="left" wrapText="1"/>
    </xf>
    <xf numFmtId="169" fontId="56" fillId="0" borderId="13" xfId="0" applyFont="1" applyFill="1" applyBorder="1" applyAlignment="1">
      <alignment horizontal="left" wrapText="1"/>
    </xf>
    <xf numFmtId="169" fontId="56" fillId="0" borderId="14" xfId="0" applyFont="1" applyFill="1" applyBorder="1" applyAlignment="1">
      <alignment horizontal="left" wrapText="1"/>
    </xf>
    <xf numFmtId="169" fontId="56" fillId="0" borderId="3" xfId="0" applyFont="1" applyFill="1" applyBorder="1" applyAlignment="1">
      <alignment horizontal="left" wrapText="1"/>
    </xf>
    <xf numFmtId="169" fontId="56" fillId="0" borderId="15" xfId="0" applyFont="1" applyFill="1" applyBorder="1" applyAlignment="1">
      <alignment horizontal="left" wrapText="1"/>
    </xf>
    <xf numFmtId="170" fontId="53" fillId="0" borderId="2" xfId="1" applyNumberFormat="1" applyFont="1" applyFill="1" applyBorder="1" applyAlignment="1" applyProtection="1">
      <alignment horizontal="center" vertical="center" shrinkToFit="1"/>
      <protection hidden="1"/>
    </xf>
    <xf numFmtId="1" fontId="34" fillId="0" borderId="2" xfId="0" applyNumberFormat="1" applyFont="1" applyFill="1" applyBorder="1" applyAlignment="1" applyProtection="1">
      <alignment horizontal="center" vertical="center" wrapText="1"/>
      <protection locked="0"/>
    </xf>
    <xf numFmtId="169" fontId="26" fillId="0" borderId="0" xfId="0" applyFont="1" applyFill="1" applyBorder="1" applyAlignment="1">
      <alignment horizontal="right" vertical="center" wrapText="1"/>
    </xf>
    <xf numFmtId="170" fontId="35" fillId="0" borderId="2" xfId="0" applyNumberFormat="1" applyFont="1" applyFill="1" applyBorder="1" applyAlignment="1" applyProtection="1">
      <alignment horizontal="center" vertical="center" shrinkToFit="1"/>
      <protection locked="0"/>
    </xf>
    <xf numFmtId="170" fontId="52" fillId="0" borderId="2" xfId="0" applyNumberFormat="1" applyFont="1" applyFill="1" applyBorder="1" applyAlignment="1" applyProtection="1">
      <alignment horizontal="right" vertical="center" shrinkToFit="1"/>
      <protection hidden="1"/>
    </xf>
    <xf numFmtId="169" fontId="54" fillId="0" borderId="9" xfId="0" applyFont="1" applyFill="1" applyBorder="1" applyAlignment="1">
      <alignment horizontal="left" wrapText="1"/>
    </xf>
    <xf numFmtId="169" fontId="54" fillId="0" borderId="0" xfId="0" applyFont="1" applyFill="1" applyBorder="1" applyAlignment="1">
      <alignment horizontal="left" wrapText="1"/>
    </xf>
    <xf numFmtId="169" fontId="54" fillId="0" borderId="13" xfId="0" applyFont="1" applyFill="1" applyBorder="1" applyAlignment="1">
      <alignment horizontal="left" wrapText="1"/>
    </xf>
    <xf numFmtId="169" fontId="11" fillId="0" borderId="0" xfId="0" applyFont="1" applyFill="1" applyBorder="1" applyAlignment="1">
      <alignment horizontal="right" vertical="center" wrapText="1"/>
    </xf>
    <xf numFmtId="170" fontId="35" fillId="0" borderId="4" xfId="0" applyNumberFormat="1" applyFont="1" applyFill="1" applyBorder="1" applyAlignment="1" applyProtection="1">
      <alignment horizontal="center" vertical="center" shrinkToFit="1"/>
      <protection locked="0"/>
    </xf>
    <xf numFmtId="170" fontId="35" fillId="0" borderId="6" xfId="0" applyNumberFormat="1" applyFont="1" applyFill="1" applyBorder="1" applyAlignment="1" applyProtection="1">
      <alignment horizontal="center" vertical="center" shrinkToFit="1"/>
      <protection locked="0"/>
    </xf>
    <xf numFmtId="169" fontId="26" fillId="0" borderId="11" xfId="0" applyFont="1" applyFill="1" applyBorder="1" applyAlignment="1" applyProtection="1">
      <alignment horizontal="left" vertical="center" wrapText="1"/>
      <protection hidden="1"/>
    </xf>
    <xf numFmtId="169" fontId="26" fillId="0" borderId="7" xfId="0" applyFont="1" applyFill="1" applyBorder="1" applyAlignment="1" applyProtection="1">
      <alignment horizontal="left" vertical="center" wrapText="1"/>
      <protection hidden="1"/>
    </xf>
    <xf numFmtId="169" fontId="26" fillId="0" borderId="12" xfId="0" applyFont="1" applyFill="1" applyBorder="1" applyAlignment="1" applyProtection="1">
      <alignment horizontal="left" vertical="center" wrapText="1"/>
      <protection hidden="1"/>
    </xf>
    <xf numFmtId="169" fontId="34" fillId="0" borderId="9" xfId="0" applyFont="1" applyFill="1" applyBorder="1" applyAlignment="1" applyProtection="1">
      <alignment horizontal="justify" vertical="top" wrapText="1"/>
      <protection hidden="1"/>
    </xf>
    <xf numFmtId="169" fontId="34" fillId="0" borderId="0" xfId="0" applyFont="1" applyFill="1" applyBorder="1" applyAlignment="1" applyProtection="1">
      <alignment horizontal="justify" vertical="top" wrapText="1"/>
      <protection hidden="1"/>
    </xf>
    <xf numFmtId="169" fontId="34" fillId="0" borderId="13" xfId="0" applyFont="1" applyFill="1" applyBorder="1" applyAlignment="1" applyProtection="1">
      <alignment horizontal="justify" vertical="top" wrapText="1"/>
      <protection hidden="1"/>
    </xf>
    <xf numFmtId="169" fontId="54" fillId="0" borderId="14" xfId="0" applyFont="1" applyFill="1" applyBorder="1" applyAlignment="1">
      <alignment horizontal="left" wrapText="1"/>
    </xf>
    <xf numFmtId="169" fontId="54" fillId="0" borderId="3" xfId="0" applyFont="1" applyFill="1" applyBorder="1" applyAlignment="1">
      <alignment horizontal="left" wrapText="1"/>
    </xf>
    <xf numFmtId="169" fontId="54" fillId="0" borderId="15" xfId="0" applyFont="1" applyFill="1" applyBorder="1" applyAlignment="1">
      <alignment horizontal="left" wrapText="1"/>
    </xf>
    <xf numFmtId="49" fontId="34" fillId="0" borderId="2" xfId="0" applyNumberFormat="1" applyFont="1" applyFill="1" applyBorder="1" applyAlignment="1" applyProtection="1">
      <alignment horizontal="center" vertical="center" wrapText="1"/>
      <protection locked="0"/>
    </xf>
    <xf numFmtId="49" fontId="34" fillId="0" borderId="2" xfId="0" applyNumberFormat="1" applyFont="1" applyFill="1" applyBorder="1" applyAlignment="1" applyProtection="1">
      <alignment horizontal="left" vertical="top" shrinkToFit="1"/>
      <protection locked="0"/>
    </xf>
    <xf numFmtId="169" fontId="39" fillId="0" borderId="0" xfId="0" applyFont="1" applyAlignment="1">
      <alignment horizontal="center" vertical="center"/>
    </xf>
    <xf numFmtId="169" fontId="25" fillId="0" borderId="0" xfId="0" applyFont="1" applyFill="1" applyBorder="1" applyAlignment="1">
      <alignment horizontal="center" vertical="center" wrapText="1"/>
    </xf>
    <xf numFmtId="169" fontId="11" fillId="0" borderId="0" xfId="0" applyFont="1" applyAlignment="1">
      <alignment horizontal="center" vertical="center" wrapText="1"/>
    </xf>
    <xf numFmtId="169" fontId="53" fillId="0" borderId="9" xfId="0" applyFont="1" applyFill="1" applyBorder="1" applyAlignment="1" applyProtection="1">
      <alignment horizontal="left" wrapText="1"/>
      <protection hidden="1"/>
    </xf>
    <xf numFmtId="169" fontId="53" fillId="0" borderId="0" xfId="0" applyFont="1" applyFill="1" applyBorder="1" applyAlignment="1" applyProtection="1">
      <alignment horizontal="left" wrapText="1"/>
      <protection hidden="1"/>
    </xf>
    <xf numFmtId="169" fontId="53" fillId="0" borderId="13" xfId="0" applyFont="1" applyFill="1" applyBorder="1" applyAlignment="1" applyProtection="1">
      <alignment horizontal="left" wrapText="1"/>
      <protection hidden="1"/>
    </xf>
    <xf numFmtId="169" fontId="28" fillId="0" borderId="0" xfId="0" applyFont="1" applyBorder="1" applyAlignment="1">
      <alignment horizontal="justify" vertical="top" wrapText="1"/>
    </xf>
    <xf numFmtId="169" fontId="9" fillId="0" borderId="0" xfId="0" applyFont="1" applyFill="1" applyBorder="1" applyAlignment="1">
      <alignment horizontal="center" vertical="center" wrapText="1"/>
    </xf>
    <xf numFmtId="169" fontId="26" fillId="0" borderId="2" xfId="0" applyFont="1" applyFill="1" applyBorder="1" applyAlignment="1">
      <alignment horizontal="center" vertical="center" wrapText="1"/>
    </xf>
    <xf numFmtId="169" fontId="26" fillId="0" borderId="2" xfId="0" applyNumberFormat="1" applyFont="1" applyFill="1" applyBorder="1" applyAlignment="1">
      <alignment horizontal="center" vertical="center" wrapText="1"/>
    </xf>
    <xf numFmtId="169" fontId="56" fillId="0" borderId="14" xfId="0" quotePrefix="1" applyFont="1" applyFill="1" applyBorder="1" applyAlignment="1" applyProtection="1">
      <alignment horizontal="left" wrapText="1"/>
      <protection hidden="1"/>
    </xf>
    <xf numFmtId="169" fontId="56" fillId="0" borderId="3" xfId="0" applyFont="1" applyFill="1" applyBorder="1" applyAlignment="1" applyProtection="1">
      <alignment horizontal="left" wrapText="1"/>
      <protection hidden="1"/>
    </xf>
    <xf numFmtId="169" fontId="56" fillId="0" borderId="15" xfId="0" applyFont="1" applyFill="1" applyBorder="1" applyAlignment="1" applyProtection="1">
      <alignment horizontal="left" wrapText="1"/>
      <protection hidden="1"/>
    </xf>
    <xf numFmtId="169" fontId="26" fillId="0" borderId="0" xfId="0" applyFont="1" applyFill="1" applyBorder="1" applyAlignment="1">
      <alignment horizontal="center" vertical="center" wrapText="1"/>
    </xf>
    <xf numFmtId="169" fontId="36" fillId="0" borderId="0" xfId="0" applyFont="1" applyAlignment="1">
      <alignment horizontal="center" wrapText="1"/>
    </xf>
    <xf numFmtId="169" fontId="34" fillId="0" borderId="4" xfId="0" applyFont="1" applyFill="1" applyBorder="1" applyAlignment="1" applyProtection="1">
      <alignment horizontal="left" vertical="center" wrapText="1"/>
      <protection hidden="1"/>
    </xf>
    <xf numFmtId="169" fontId="34" fillId="0" borderId="5" xfId="0" applyFont="1" applyFill="1" applyBorder="1" applyAlignment="1" applyProtection="1">
      <alignment horizontal="left" vertical="center" wrapText="1"/>
      <protection hidden="1"/>
    </xf>
    <xf numFmtId="169" fontId="34" fillId="0" borderId="4" xfId="0" applyFont="1" applyFill="1" applyBorder="1" applyAlignment="1" applyProtection="1">
      <alignment horizontal="center" vertical="center" wrapText="1"/>
      <protection hidden="1"/>
    </xf>
    <xf numFmtId="169" fontId="34" fillId="0" borderId="5" xfId="0" applyFont="1" applyFill="1" applyBorder="1" applyAlignment="1" applyProtection="1">
      <alignment horizontal="center" vertical="center" wrapText="1"/>
      <protection hidden="1"/>
    </xf>
    <xf numFmtId="169" fontId="34" fillId="0" borderId="4" xfId="0" applyFont="1" applyFill="1" applyBorder="1" applyAlignment="1">
      <alignment horizontal="center" vertical="center" wrapText="1"/>
    </xf>
    <xf numFmtId="169" fontId="34" fillId="0" borderId="5" xfId="0" applyFont="1" applyFill="1" applyBorder="1" applyAlignment="1">
      <alignment horizontal="center" vertical="center" wrapText="1"/>
    </xf>
    <xf numFmtId="169" fontId="34" fillId="0" borderId="6" xfId="0" applyFont="1" applyFill="1" applyBorder="1" applyAlignment="1">
      <alignment horizontal="center" vertical="center" wrapText="1"/>
    </xf>
    <xf numFmtId="169" fontId="52" fillId="0" borderId="0" xfId="0" applyFont="1" applyBorder="1" applyAlignment="1">
      <alignment horizontal="center" vertical="center" wrapText="1"/>
    </xf>
    <xf numFmtId="49" fontId="34" fillId="0" borderId="4" xfId="0" applyNumberFormat="1" applyFont="1" applyFill="1" applyBorder="1" applyAlignment="1" applyProtection="1">
      <alignment horizontal="center" vertical="center" shrinkToFit="1"/>
      <protection locked="0"/>
    </xf>
    <xf numFmtId="49" fontId="34" fillId="0" borderId="5" xfId="0" applyNumberFormat="1" applyFont="1" applyFill="1" applyBorder="1" applyAlignment="1" applyProtection="1">
      <alignment horizontal="center" vertical="center" shrinkToFit="1"/>
      <protection locked="0"/>
    </xf>
    <xf numFmtId="49" fontId="34" fillId="0" borderId="6" xfId="0" applyNumberFormat="1" applyFont="1" applyFill="1" applyBorder="1" applyAlignment="1" applyProtection="1">
      <alignment horizontal="center" vertical="center" shrinkToFit="1"/>
      <protection locked="0"/>
    </xf>
    <xf numFmtId="169" fontId="34" fillId="0" borderId="11" xfId="0" applyFont="1" applyFill="1" applyBorder="1" applyAlignment="1" applyProtection="1">
      <alignment horizontal="left" wrapText="1"/>
      <protection hidden="1"/>
    </xf>
    <xf numFmtId="169" fontId="34" fillId="0" borderId="7" xfId="0" applyFont="1" applyFill="1" applyBorder="1" applyAlignment="1" applyProtection="1">
      <alignment horizontal="left" wrapText="1"/>
      <protection hidden="1"/>
    </xf>
    <xf numFmtId="169" fontId="34" fillId="0" borderId="12" xfId="0" applyFont="1" applyFill="1" applyBorder="1" applyAlignment="1" applyProtection="1">
      <alignment horizontal="left" wrapText="1"/>
      <protection hidden="1"/>
    </xf>
    <xf numFmtId="169" fontId="34" fillId="0" borderId="9" xfId="0" applyFont="1" applyFill="1" applyBorder="1" applyAlignment="1" applyProtection="1">
      <alignment horizontal="left" wrapText="1"/>
      <protection hidden="1"/>
    </xf>
    <xf numFmtId="169" fontId="34" fillId="0" borderId="0" xfId="0" applyFont="1" applyFill="1" applyBorder="1" applyAlignment="1" applyProtection="1">
      <alignment horizontal="left" wrapText="1"/>
      <protection hidden="1"/>
    </xf>
    <xf numFmtId="169" fontId="34" fillId="0" borderId="13" xfId="0" applyFont="1" applyFill="1" applyBorder="1" applyAlignment="1" applyProtection="1">
      <alignment horizontal="left" wrapText="1"/>
      <protection hidden="1"/>
    </xf>
    <xf numFmtId="169" fontId="34" fillId="0" borderId="14" xfId="0" applyFont="1" applyFill="1" applyBorder="1" applyAlignment="1" applyProtection="1">
      <alignment horizontal="left" vertical="top" wrapText="1"/>
      <protection hidden="1"/>
    </xf>
    <xf numFmtId="169" fontId="34" fillId="0" borderId="3" xfId="0" applyFont="1" applyFill="1" applyBorder="1" applyAlignment="1" applyProtection="1">
      <alignment horizontal="left" vertical="top" wrapText="1"/>
      <protection hidden="1"/>
    </xf>
    <xf numFmtId="169" fontId="34" fillId="0" borderId="15" xfId="0" applyFont="1" applyFill="1" applyBorder="1" applyAlignment="1" applyProtection="1">
      <alignment horizontal="left" vertical="top" wrapText="1"/>
      <protection hidden="1"/>
    </xf>
    <xf numFmtId="169" fontId="56" fillId="0" borderId="9" xfId="0" applyFont="1" applyFill="1" applyBorder="1" applyAlignment="1">
      <alignment horizontal="center" wrapText="1"/>
    </xf>
    <xf numFmtId="169" fontId="56" fillId="0" borderId="0" xfId="0" applyFont="1" applyFill="1" applyBorder="1" applyAlignment="1">
      <alignment horizontal="center" wrapText="1"/>
    </xf>
    <xf numFmtId="169" fontId="56" fillId="0" borderId="13" xfId="0" applyFont="1" applyFill="1" applyBorder="1" applyAlignment="1">
      <alignment horizontal="center" wrapText="1"/>
    </xf>
    <xf numFmtId="169" fontId="56" fillId="0" borderId="14" xfId="0" applyFont="1" applyFill="1" applyBorder="1" applyAlignment="1">
      <alignment horizontal="center" wrapText="1"/>
    </xf>
    <xf numFmtId="169" fontId="56" fillId="0" borderId="3" xfId="0" applyFont="1" applyFill="1" applyBorder="1" applyAlignment="1">
      <alignment horizontal="center" wrapText="1"/>
    </xf>
    <xf numFmtId="169" fontId="56" fillId="0" borderId="15" xfId="0" applyFont="1" applyFill="1" applyBorder="1" applyAlignment="1">
      <alignment horizontal="center" wrapText="1"/>
    </xf>
    <xf numFmtId="169" fontId="26" fillId="0" borderId="22" xfId="0" applyFont="1" applyFill="1" applyBorder="1" applyAlignment="1" applyProtection="1">
      <alignment horizontal="center" vertical="center" wrapText="1"/>
      <protection hidden="1"/>
    </xf>
    <xf numFmtId="169" fontId="26" fillId="0" borderId="23" xfId="0" applyFont="1" applyFill="1" applyBorder="1" applyAlignment="1" applyProtection="1">
      <alignment horizontal="center" vertical="center" wrapText="1"/>
      <protection hidden="1"/>
    </xf>
    <xf numFmtId="170" fontId="34" fillId="3" borderId="24" xfId="0" applyNumberFormat="1" applyFont="1" applyFill="1" applyBorder="1" applyAlignment="1" applyProtection="1">
      <alignment horizontal="right" vertical="center" wrapText="1"/>
      <protection hidden="1"/>
    </xf>
    <xf numFmtId="170" fontId="34" fillId="3" borderId="25" xfId="0" applyNumberFormat="1" applyFont="1" applyFill="1" applyBorder="1" applyAlignment="1" applyProtection="1">
      <alignment horizontal="right" vertical="center" wrapText="1"/>
      <protection hidden="1"/>
    </xf>
    <xf numFmtId="170" fontId="34" fillId="0" borderId="24" xfId="0" applyNumberFormat="1" applyFont="1" applyFill="1" applyBorder="1" applyAlignment="1" applyProtection="1">
      <alignment horizontal="right" vertical="center" wrapText="1"/>
      <protection hidden="1"/>
    </xf>
    <xf numFmtId="170" fontId="34" fillId="0" borderId="25" xfId="0" applyNumberFormat="1" applyFont="1" applyFill="1" applyBorder="1" applyAlignment="1" applyProtection="1">
      <alignment horizontal="right" vertical="center" wrapText="1"/>
      <protection hidden="1"/>
    </xf>
    <xf numFmtId="170" fontId="34" fillId="0" borderId="26" xfId="0" applyNumberFormat="1" applyFont="1" applyFill="1" applyBorder="1" applyAlignment="1" applyProtection="1">
      <alignment horizontal="right" vertical="center" wrapText="1"/>
      <protection hidden="1"/>
    </xf>
    <xf numFmtId="170" fontId="34" fillId="0" borderId="27" xfId="0" applyNumberFormat="1" applyFont="1" applyFill="1" applyBorder="1" applyAlignment="1" applyProtection="1">
      <alignment horizontal="right" vertical="center" wrapText="1"/>
      <protection hidden="1"/>
    </xf>
    <xf numFmtId="170" fontId="34" fillId="3" borderId="5" xfId="0" applyNumberFormat="1" applyFont="1" applyFill="1" applyBorder="1" applyAlignment="1" applyProtection="1">
      <alignment horizontal="right" vertical="center" wrapText="1"/>
      <protection hidden="1"/>
    </xf>
    <xf numFmtId="170" fontId="34" fillId="0" borderId="5" xfId="0" applyNumberFormat="1" applyFont="1" applyFill="1" applyBorder="1" applyAlignment="1" applyProtection="1">
      <alignment horizontal="right" vertical="center" wrapText="1"/>
      <protection hidden="1"/>
    </xf>
    <xf numFmtId="170" fontId="26" fillId="0" borderId="4" xfId="0" applyNumberFormat="1" applyFont="1" applyFill="1" applyBorder="1" applyAlignment="1" applyProtection="1">
      <alignment horizontal="right" vertical="center" shrinkToFit="1"/>
      <protection hidden="1"/>
    </xf>
    <xf numFmtId="170" fontId="26" fillId="0" borderId="6" xfId="0" applyNumberFormat="1" applyFont="1" applyFill="1" applyBorder="1" applyAlignment="1" applyProtection="1">
      <alignment horizontal="right" vertical="center" shrinkToFit="1"/>
      <protection hidden="1"/>
    </xf>
    <xf numFmtId="169" fontId="58" fillId="0" borderId="7" xfId="0" applyFont="1" applyFill="1" applyBorder="1" applyAlignment="1">
      <alignment horizontal="center" vertical="center" wrapText="1"/>
    </xf>
    <xf numFmtId="169" fontId="6" fillId="0" borderId="0" xfId="0" applyFont="1" applyBorder="1" applyAlignment="1">
      <alignment horizontal="left" vertical="center" wrapText="1"/>
    </xf>
    <xf numFmtId="169" fontId="7" fillId="0" borderId="0" xfId="0" applyFont="1" applyFill="1" applyBorder="1" applyAlignment="1">
      <alignment horizontal="center"/>
    </xf>
    <xf numFmtId="169" fontId="5" fillId="0" borderId="0" xfId="4" applyFont="1" applyAlignment="1">
      <alignment horizontal="center"/>
    </xf>
    <xf numFmtId="169" fontId="6" fillId="0" borderId="0" xfId="0" applyFont="1" applyAlignment="1">
      <alignment horizontal="justify" vertical="center" wrapText="1"/>
    </xf>
    <xf numFmtId="169" fontId="7" fillId="0" borderId="2" xfId="0" applyFont="1" applyFill="1" applyBorder="1" applyAlignment="1">
      <alignment horizontal="center"/>
    </xf>
    <xf numFmtId="169" fontId="6" fillId="0" borderId="3" xfId="0" applyFont="1" applyBorder="1" applyAlignment="1">
      <alignment horizontal="left" vertical="center" wrapText="1"/>
    </xf>
    <xf numFmtId="169" fontId="3" fillId="0" borderId="0" xfId="0" applyFont="1" applyAlignment="1">
      <alignment horizontal="justify" vertical="center" wrapText="1"/>
    </xf>
    <xf numFmtId="169" fontId="6" fillId="0" borderId="4" xfId="0" applyFont="1" applyBorder="1" applyAlignment="1">
      <alignment horizontal="left" vertical="center" wrapText="1"/>
    </xf>
    <xf numFmtId="169" fontId="6" fillId="0" borderId="5" xfId="0" applyFont="1" applyBorder="1" applyAlignment="1">
      <alignment horizontal="left" vertical="center" wrapText="1"/>
    </xf>
    <xf numFmtId="169" fontId="6" fillId="0" borderId="6" xfId="0" applyFont="1" applyBorder="1" applyAlignment="1">
      <alignment horizontal="left" vertical="center" wrapText="1"/>
    </xf>
  </cellXfs>
  <cellStyles count="6">
    <cellStyle name="Euro" xfId="4"/>
    <cellStyle name="Migliaia" xfId="5" builtinId="3"/>
    <cellStyle name="Normale" xfId="0" builtinId="0"/>
    <cellStyle name="Percentuale" xfId="3" builtinId="5"/>
    <cellStyle name="Valuta" xfId="1" builtinId="4"/>
    <cellStyle name="Valuta [0]" xfId="2" builtinId="7"/>
  </cellStyles>
  <dxfs count="2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
      <font>
        <color theme="0"/>
      </font>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21212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4117975</xdr:colOff>
      <xdr:row>0</xdr:row>
      <xdr:rowOff>285751</xdr:rowOff>
    </xdr:from>
    <xdr:to>
      <xdr:col>2</xdr:col>
      <xdr:colOff>5784850</xdr:colOff>
      <xdr:row>0</xdr:row>
      <xdr:rowOff>1265603</xdr:rowOff>
    </xdr:to>
    <xdr:pic>
      <xdr:nvPicPr>
        <xdr:cNvPr id="4" name="Immagin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99325" y="285751"/>
          <a:ext cx="1666875" cy="979852"/>
        </a:xfrm>
        <a:prstGeom prst="rect">
          <a:avLst/>
        </a:prstGeom>
      </xdr:spPr>
    </xdr:pic>
    <xdr:clientData/>
  </xdr:twoCellAnchor>
  <xdr:twoCellAnchor editAs="oneCell">
    <xdr:from>
      <xdr:col>2</xdr:col>
      <xdr:colOff>6223000</xdr:colOff>
      <xdr:row>0</xdr:row>
      <xdr:rowOff>247650</xdr:rowOff>
    </xdr:from>
    <xdr:to>
      <xdr:col>3</xdr:col>
      <xdr:colOff>1184275</xdr:colOff>
      <xdr:row>0</xdr:row>
      <xdr:rowOff>1170923</xdr:rowOff>
    </xdr:to>
    <xdr:pic>
      <xdr:nvPicPr>
        <xdr:cNvPr id="5" name="Immagin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04350" y="247650"/>
          <a:ext cx="3286125" cy="923273"/>
        </a:xfrm>
        <a:prstGeom prst="rect">
          <a:avLst/>
        </a:prstGeom>
      </xdr:spPr>
    </xdr:pic>
    <xdr:clientData/>
  </xdr:twoCellAnchor>
  <xdr:twoCellAnchor editAs="oneCell">
    <xdr:from>
      <xdr:col>4</xdr:col>
      <xdr:colOff>927100</xdr:colOff>
      <xdr:row>0</xdr:row>
      <xdr:rowOff>441326</xdr:rowOff>
    </xdr:from>
    <xdr:to>
      <xdr:col>5</xdr:col>
      <xdr:colOff>1481757</xdr:colOff>
      <xdr:row>0</xdr:row>
      <xdr:rowOff>1139826</xdr:rowOff>
    </xdr:to>
    <xdr:pic>
      <xdr:nvPicPr>
        <xdr:cNvPr id="6" name="Immagine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576300" y="441326"/>
          <a:ext cx="3189907" cy="698500"/>
        </a:xfrm>
        <a:prstGeom prst="rect">
          <a:avLst/>
        </a:prstGeom>
      </xdr:spPr>
    </xdr:pic>
    <xdr:clientData/>
  </xdr:twoCellAnchor>
  <xdr:oneCellAnchor>
    <xdr:from>
      <xdr:col>5</xdr:col>
      <xdr:colOff>238125</xdr:colOff>
      <xdr:row>11</xdr:row>
      <xdr:rowOff>1357313</xdr:rowOff>
    </xdr:from>
    <xdr:ext cx="9358313" cy="8620126"/>
    <xdr:sp macro="" textlink="">
      <xdr:nvSpPr>
        <xdr:cNvPr id="2" name="CasellaDiTesto 1"/>
        <xdr:cNvSpPr txBox="1"/>
      </xdr:nvSpPr>
      <xdr:spPr>
        <a:xfrm>
          <a:off x="16097250" y="6691313"/>
          <a:ext cx="9358313" cy="8620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lang="it-IT" sz="3400" i="1">
              <a:solidFill>
                <a:srgbClr val="FF0000"/>
              </a:solidFill>
              <a:latin typeface="Century Gothic" panose="020B0502020202020204" pitchFamily="34" charset="0"/>
            </a:rPr>
            <a:t>Questo modulo è stato realizzato internamente al solo scopo di facilitare l'attività di compilazione della richiesta di liquidazione. </a:t>
          </a:r>
        </a:p>
        <a:p>
          <a:pPr algn="l"/>
          <a:r>
            <a:rPr lang="it-IT" sz="3400" i="1">
              <a:solidFill>
                <a:srgbClr val="FF0000"/>
              </a:solidFill>
              <a:latin typeface="Century Gothic" panose="020B0502020202020204" pitchFamily="34" charset="0"/>
            </a:rPr>
            <a:t>Esso è uno strumento di test transitorio finalizzato a raccogliere segnalazioni al fine di realizzare poi una versione definitiva che integri eventuali modifiche che dovessero rendersi necessarie.</a:t>
          </a:r>
        </a:p>
        <a:p>
          <a:pPr algn="l"/>
          <a:r>
            <a:rPr lang="it-IT" sz="3400" i="1">
              <a:solidFill>
                <a:srgbClr val="FF0000"/>
              </a:solidFill>
              <a:latin typeface="Century Gothic" panose="020B0502020202020204" pitchFamily="34" charset="0"/>
            </a:rPr>
            <a:t>Si esclude qualsiasi responsabilità per l'uso improprio e non conforme al vademecum, alla legislazione vigente e comunque alle indicazioni caso per caso fornite</a:t>
          </a:r>
          <a:r>
            <a:rPr lang="it-IT" sz="3400" i="1" baseline="0">
              <a:solidFill>
                <a:srgbClr val="FF0000"/>
              </a:solidFill>
              <a:latin typeface="Century Gothic" panose="020B0502020202020204" pitchFamily="34" charset="0"/>
            </a:rPr>
            <a:t> </a:t>
          </a:r>
          <a:r>
            <a:rPr lang="it-IT" sz="3400" i="1">
              <a:solidFill>
                <a:srgbClr val="FF0000"/>
              </a:solidFill>
              <a:latin typeface="Century Gothic" panose="020B0502020202020204" pitchFamily="34" charset="0"/>
            </a:rPr>
            <a:t>dal giudice delegato.</a:t>
          </a:r>
        </a:p>
        <a:p>
          <a:pPr algn="l"/>
          <a:r>
            <a:rPr lang="it-IT" sz="3400" i="1">
              <a:solidFill>
                <a:srgbClr val="FF0000"/>
              </a:solidFill>
              <a:latin typeface="Century Gothic" panose="020B0502020202020204" pitchFamily="34" charset="0"/>
            </a:rPr>
            <a:t>In caso di dubbi sui criteri di richiesta del compenso, fare riferimento al vademecum.</a:t>
          </a:r>
        </a:p>
      </xdr:txBody>
    </xdr:sp>
    <xdr:clientData fPrintsWithSheet="0"/>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L237"/>
  <sheetViews>
    <sheetView showGridLines="0" tabSelected="1" zoomScale="44" zoomScaleNormal="44" zoomScaleSheetLayoutView="39" workbookViewId="0">
      <selection activeCell="G183" sqref="G183:H183"/>
    </sheetView>
  </sheetViews>
  <sheetFormatPr defaultColWidth="0" defaultRowHeight="20.25" zeroHeight="1" x14ac:dyDescent="0.3"/>
  <cols>
    <col min="1" max="1" width="8" style="33" bestFit="1" customWidth="1"/>
    <col min="2" max="2" width="47.28515625" style="33" bestFit="1" customWidth="1"/>
    <col min="3" max="3" width="124.7109375" style="34" customWidth="1"/>
    <col min="4" max="4" width="18.7109375" style="35" bestFit="1" customWidth="1"/>
    <col min="5" max="5" width="39.7109375" style="33" bestFit="1" customWidth="1"/>
    <col min="6" max="6" width="26.28515625" style="37" customWidth="1"/>
    <col min="7" max="7" width="25.7109375" style="33" customWidth="1"/>
    <col min="8" max="8" width="31.85546875" style="33" customWidth="1"/>
    <col min="9" max="9" width="29.5703125" style="33" customWidth="1"/>
    <col min="10" max="10" width="33" style="33" bestFit="1" customWidth="1"/>
    <col min="11" max="11" width="8" style="33" bestFit="1" customWidth="1"/>
    <col min="12" max="12" width="0" style="73" hidden="1" customWidth="1"/>
    <col min="13" max="16384" width="6.140625" style="33" hidden="1"/>
  </cols>
  <sheetData>
    <row r="1" spans="1:12" ht="121.5" x14ac:dyDescent="0.3">
      <c r="A1" s="37"/>
      <c r="B1" s="37"/>
      <c r="C1" s="83"/>
      <c r="D1" s="84"/>
      <c r="E1" s="37"/>
      <c r="F1" s="85"/>
      <c r="G1" s="37"/>
      <c r="H1" s="37"/>
      <c r="I1" s="37"/>
      <c r="J1" s="37"/>
      <c r="K1" s="37"/>
      <c r="L1" s="69"/>
    </row>
    <row r="2" spans="1:12" ht="28.5" x14ac:dyDescent="0.3">
      <c r="B2" s="215" t="s">
        <v>46</v>
      </c>
      <c r="C2" s="215"/>
      <c r="D2" s="215"/>
      <c r="E2" s="215"/>
      <c r="F2" s="215"/>
      <c r="G2" s="215"/>
      <c r="H2" s="215"/>
      <c r="I2" s="215"/>
      <c r="J2" s="215"/>
      <c r="K2" s="215"/>
      <c r="L2" s="70" t="s">
        <v>47</v>
      </c>
    </row>
    <row r="3" spans="1:12" s="5" customFormat="1" ht="43.5" x14ac:dyDescent="0.25">
      <c r="B3" s="228" t="s">
        <v>0</v>
      </c>
      <c r="C3" s="228"/>
      <c r="D3" s="228"/>
      <c r="E3" s="228"/>
      <c r="F3" s="228"/>
      <c r="G3" s="228"/>
      <c r="H3" s="228"/>
      <c r="I3" s="228"/>
      <c r="J3" s="228"/>
      <c r="K3" s="228"/>
      <c r="L3" s="71" t="s">
        <v>47</v>
      </c>
    </row>
    <row r="4" spans="1:12" s="6" customFormat="1" ht="43.5" x14ac:dyDescent="0.25">
      <c r="B4" s="216" t="s">
        <v>1</v>
      </c>
      <c r="C4" s="216"/>
      <c r="D4" s="216"/>
      <c r="E4" s="216"/>
      <c r="F4" s="216"/>
      <c r="G4" s="216"/>
      <c r="H4" s="216"/>
      <c r="I4" s="216"/>
      <c r="J4" s="216"/>
      <c r="K4" s="216"/>
      <c r="L4" s="71" t="s">
        <v>47</v>
      </c>
    </row>
    <row r="5" spans="1:12" ht="34.5" x14ac:dyDescent="0.3">
      <c r="B5" s="217" t="s">
        <v>2</v>
      </c>
      <c r="C5" s="217"/>
      <c r="D5" s="217"/>
      <c r="E5" s="217"/>
      <c r="F5" s="217"/>
      <c r="G5" s="217"/>
      <c r="H5" s="217"/>
      <c r="I5" s="217"/>
      <c r="J5" s="217"/>
      <c r="K5" s="217"/>
      <c r="L5" s="72" t="s">
        <v>47</v>
      </c>
    </row>
    <row r="6" spans="1:12" s="5" customFormat="1" ht="43.5" x14ac:dyDescent="0.25">
      <c r="B6" s="45" t="s">
        <v>3</v>
      </c>
      <c r="C6" s="107"/>
      <c r="D6" s="32"/>
      <c r="E6" s="47"/>
      <c r="F6" s="48"/>
      <c r="G6" s="47"/>
      <c r="H6" s="47"/>
      <c r="I6" s="47"/>
      <c r="J6" s="47"/>
      <c r="K6" s="47"/>
      <c r="L6" s="71" t="s">
        <v>47</v>
      </c>
    </row>
    <row r="7" spans="1:12" s="5" customFormat="1" ht="43.5" x14ac:dyDescent="0.25">
      <c r="B7" s="45" t="s">
        <v>4</v>
      </c>
      <c r="C7" s="107"/>
      <c r="D7" s="32"/>
      <c r="E7" s="47"/>
      <c r="F7" s="48"/>
      <c r="G7" s="47"/>
      <c r="H7" s="47"/>
      <c r="I7" s="47"/>
      <c r="J7" s="47"/>
      <c r="K7" s="47"/>
      <c r="L7" s="71" t="s">
        <v>47</v>
      </c>
    </row>
    <row r="8" spans="1:12" s="5" customFormat="1" ht="43.5" x14ac:dyDescent="0.25">
      <c r="B8" s="45" t="s">
        <v>5</v>
      </c>
      <c r="C8" s="107"/>
      <c r="D8" s="32"/>
      <c r="E8" s="47"/>
      <c r="F8" s="48"/>
      <c r="G8" s="47"/>
      <c r="H8" s="47"/>
      <c r="I8" s="47"/>
      <c r="J8" s="47"/>
      <c r="K8" s="47"/>
      <c r="L8" s="71" t="s">
        <v>47</v>
      </c>
    </row>
    <row r="9" spans="1:12" x14ac:dyDescent="0.3">
      <c r="L9" s="73" t="s">
        <v>47</v>
      </c>
    </row>
    <row r="10" spans="1:12" ht="64.5" customHeight="1" x14ac:dyDescent="0.4">
      <c r="B10" s="229" t="s">
        <v>77</v>
      </c>
      <c r="C10" s="229"/>
      <c r="D10" s="229"/>
      <c r="E10" s="229"/>
      <c r="F10" s="229"/>
      <c r="G10" s="229"/>
      <c r="H10" s="229"/>
      <c r="I10" s="229"/>
      <c r="J10" s="229"/>
    </row>
    <row r="11" spans="1:12" ht="45.75" customHeight="1" x14ac:dyDescent="0.4">
      <c r="B11" s="115"/>
      <c r="C11" s="115"/>
      <c r="D11" s="115"/>
      <c r="E11" s="115"/>
      <c r="F11" s="115"/>
      <c r="G11" s="115"/>
      <c r="H11" s="115"/>
      <c r="I11" s="115"/>
      <c r="J11" s="115"/>
    </row>
    <row r="12" spans="1:12" ht="120.75" customHeight="1" thickBot="1" x14ac:dyDescent="0.75">
      <c r="C12" s="66" t="s">
        <v>40</v>
      </c>
      <c r="D12" s="38" t="s">
        <v>42</v>
      </c>
      <c r="E12" s="55" t="s">
        <v>48</v>
      </c>
      <c r="F12" s="56"/>
      <c r="G12" s="55" t="s">
        <v>44</v>
      </c>
      <c r="H12" s="55" t="s">
        <v>44</v>
      </c>
      <c r="I12" s="55" t="s">
        <v>44</v>
      </c>
      <c r="J12" s="50"/>
      <c r="K12" s="51"/>
      <c r="L12" s="74" t="s">
        <v>47</v>
      </c>
    </row>
    <row r="13" spans="1:12" ht="59.25" thickBot="1" x14ac:dyDescent="0.5">
      <c r="C13" s="88" t="s">
        <v>36</v>
      </c>
      <c r="D13" s="89" t="s">
        <v>38</v>
      </c>
      <c r="E13" s="59" t="s">
        <v>38</v>
      </c>
      <c r="F13" s="36"/>
      <c r="L13" s="75" t="s">
        <v>47</v>
      </c>
    </row>
    <row r="14" spans="1:12" ht="59.25" thickBot="1" x14ac:dyDescent="0.5">
      <c r="C14" s="88" t="s">
        <v>37</v>
      </c>
      <c r="D14" s="89" t="s">
        <v>38</v>
      </c>
      <c r="E14" s="59"/>
      <c r="F14" s="36"/>
      <c r="L14" s="75" t="s">
        <v>47</v>
      </c>
    </row>
    <row r="15" spans="1:12" ht="59.25" thickBot="1" x14ac:dyDescent="0.5">
      <c r="C15" s="88" t="s">
        <v>29</v>
      </c>
      <c r="D15" s="90"/>
      <c r="E15" s="59" t="s">
        <v>11</v>
      </c>
      <c r="F15" s="36"/>
      <c r="L15" s="75" t="s">
        <v>47</v>
      </c>
    </row>
    <row r="16" spans="1:12" ht="58.5" x14ac:dyDescent="0.45">
      <c r="C16" s="86" t="s">
        <v>28</v>
      </c>
      <c r="D16" s="87"/>
      <c r="E16" s="60"/>
      <c r="F16" s="36"/>
      <c r="L16" s="75" t="s">
        <v>47</v>
      </c>
    </row>
    <row r="17" spans="2:12" ht="59.25" thickBot="1" x14ac:dyDescent="0.35">
      <c r="C17" s="108" t="s">
        <v>30</v>
      </c>
      <c r="D17" s="113"/>
      <c r="F17" s="36"/>
      <c r="L17" s="75" t="s">
        <v>47</v>
      </c>
    </row>
    <row r="18" spans="2:12" ht="58.5" x14ac:dyDescent="0.3">
      <c r="C18" s="86" t="s">
        <v>41</v>
      </c>
      <c r="D18" s="87"/>
      <c r="F18" s="36"/>
      <c r="L18" s="75" t="s">
        <v>47</v>
      </c>
    </row>
    <row r="19" spans="2:12" ht="59.25" thickBot="1" x14ac:dyDescent="0.35">
      <c r="C19" s="108" t="s">
        <v>39</v>
      </c>
      <c r="D19" s="113"/>
      <c r="F19" s="36"/>
      <c r="L19" s="75" t="s">
        <v>47</v>
      </c>
    </row>
    <row r="20" spans="2:12" ht="59.25" thickBot="1" x14ac:dyDescent="0.35">
      <c r="C20" s="88" t="s">
        <v>32</v>
      </c>
      <c r="D20" s="90"/>
      <c r="F20" s="36"/>
      <c r="L20" s="75" t="s">
        <v>47</v>
      </c>
    </row>
    <row r="21" spans="2:12" ht="59.25" thickBot="1" x14ac:dyDescent="0.35">
      <c r="C21" s="88" t="s">
        <v>31</v>
      </c>
      <c r="D21" s="90"/>
      <c r="F21" s="36"/>
      <c r="L21" s="75" t="s">
        <v>47</v>
      </c>
    </row>
    <row r="22" spans="2:12" ht="59.25" thickBot="1" x14ac:dyDescent="0.35">
      <c r="C22" s="88" t="s">
        <v>33</v>
      </c>
      <c r="D22" s="90"/>
      <c r="F22" s="36"/>
      <c r="L22" s="75" t="s">
        <v>47</v>
      </c>
    </row>
    <row r="23" spans="2:12" ht="59.25" thickBot="1" x14ac:dyDescent="0.35">
      <c r="C23" s="88" t="s">
        <v>34</v>
      </c>
      <c r="D23" s="90"/>
      <c r="F23" s="36"/>
      <c r="L23" s="75" t="s">
        <v>47</v>
      </c>
    </row>
    <row r="24" spans="2:12" ht="59.25" thickBot="1" x14ac:dyDescent="0.35">
      <c r="C24" s="88" t="s">
        <v>35</v>
      </c>
      <c r="D24" s="90"/>
      <c r="F24" s="36"/>
      <c r="L24" s="75" t="s">
        <v>47</v>
      </c>
    </row>
    <row r="25" spans="2:12" ht="17.25" x14ac:dyDescent="0.3">
      <c r="C25" s="52"/>
      <c r="D25" s="33"/>
      <c r="F25" s="53"/>
      <c r="L25" s="76" t="s">
        <v>47</v>
      </c>
    </row>
    <row r="26" spans="2:12" ht="93" customHeight="1" x14ac:dyDescent="0.3">
      <c r="B26" s="221" t="s">
        <v>43</v>
      </c>
      <c r="C26" s="221"/>
      <c r="D26" s="221"/>
      <c r="E26" s="221"/>
      <c r="F26" s="221"/>
      <c r="G26" s="221"/>
      <c r="H26" s="221"/>
      <c r="I26" s="221"/>
      <c r="J26" s="221"/>
      <c r="L26" s="75" t="s">
        <v>47</v>
      </c>
    </row>
    <row r="27" spans="2:12" ht="93" customHeight="1" x14ac:dyDescent="0.3">
      <c r="B27" s="221"/>
      <c r="C27" s="221"/>
      <c r="D27" s="221"/>
      <c r="E27" s="221"/>
      <c r="F27" s="221"/>
      <c r="G27" s="221"/>
      <c r="H27" s="221"/>
      <c r="I27" s="221"/>
      <c r="J27" s="221"/>
      <c r="L27" s="75" t="s">
        <v>47</v>
      </c>
    </row>
    <row r="28" spans="2:12" ht="17.25" x14ac:dyDescent="0.3">
      <c r="B28" s="222"/>
      <c r="C28" s="222"/>
      <c r="D28" s="222"/>
      <c r="E28" s="222"/>
      <c r="F28" s="222"/>
      <c r="G28" s="222"/>
      <c r="H28" s="222"/>
      <c r="I28" s="222"/>
      <c r="J28" s="222"/>
      <c r="L28" s="76" t="s">
        <v>47</v>
      </c>
    </row>
    <row r="29" spans="2:12" ht="17.25" x14ac:dyDescent="0.3">
      <c r="B29" s="222"/>
      <c r="C29" s="222"/>
      <c r="D29" s="222"/>
      <c r="E29" s="222"/>
      <c r="F29" s="222"/>
      <c r="G29" s="222"/>
      <c r="H29" s="222"/>
      <c r="I29" s="222"/>
      <c r="J29" s="222"/>
      <c r="L29" s="76" t="s">
        <v>47</v>
      </c>
    </row>
    <row r="30" spans="2:12" ht="58.5" x14ac:dyDescent="0.6">
      <c r="B30" s="223" t="s">
        <v>25</v>
      </c>
      <c r="C30" s="223"/>
      <c r="D30" s="223"/>
      <c r="E30" s="223"/>
      <c r="F30" s="223"/>
      <c r="G30" s="223"/>
      <c r="H30" s="223"/>
      <c r="I30" s="223"/>
      <c r="J30" s="223"/>
      <c r="K30" s="49"/>
      <c r="L30" s="77" t="s">
        <v>47</v>
      </c>
    </row>
    <row r="31" spans="2:12" ht="121.5" x14ac:dyDescent="0.3">
      <c r="B31" s="223" t="s">
        <v>51</v>
      </c>
      <c r="C31" s="223" t="s">
        <v>6</v>
      </c>
      <c r="D31" s="223"/>
      <c r="E31" s="224" t="s">
        <v>7</v>
      </c>
      <c r="F31" s="224" t="s">
        <v>8</v>
      </c>
      <c r="G31" s="223" t="s">
        <v>26</v>
      </c>
      <c r="H31" s="223"/>
      <c r="I31" s="224" t="s">
        <v>52</v>
      </c>
      <c r="J31" s="224" t="s">
        <v>9</v>
      </c>
      <c r="L31" s="69" t="s">
        <v>47</v>
      </c>
    </row>
    <row r="32" spans="2:12" ht="43.5" x14ac:dyDescent="0.3">
      <c r="B32" s="223"/>
      <c r="C32" s="223"/>
      <c r="D32" s="223"/>
      <c r="E32" s="224"/>
      <c r="F32" s="224"/>
      <c r="G32" s="114" t="s">
        <v>10</v>
      </c>
      <c r="H32" s="114" t="s">
        <v>11</v>
      </c>
      <c r="I32" s="224"/>
      <c r="J32" s="224"/>
      <c r="L32" s="78" t="s">
        <v>47</v>
      </c>
    </row>
    <row r="33" spans="2:12" ht="87.75" x14ac:dyDescent="0.3">
      <c r="B33" s="91"/>
      <c r="C33" s="152"/>
      <c r="D33" s="152"/>
      <c r="E33" s="109"/>
      <c r="F33" s="110"/>
      <c r="G33" s="91"/>
      <c r="H33" s="91"/>
      <c r="I33" s="91"/>
      <c r="J33" s="111"/>
      <c r="L33" s="79" t="s">
        <v>47</v>
      </c>
    </row>
    <row r="34" spans="2:12" ht="87.75" x14ac:dyDescent="0.3">
      <c r="B34" s="91"/>
      <c r="C34" s="152"/>
      <c r="D34" s="152"/>
      <c r="E34" s="109"/>
      <c r="F34" s="110"/>
      <c r="G34" s="91"/>
      <c r="H34" s="91"/>
      <c r="I34" s="91"/>
      <c r="J34" s="111"/>
      <c r="L34" s="79" t="s">
        <v>47</v>
      </c>
    </row>
    <row r="35" spans="2:12" ht="87.75" x14ac:dyDescent="0.3">
      <c r="B35" s="91"/>
      <c r="C35" s="152"/>
      <c r="D35" s="152"/>
      <c r="E35" s="109"/>
      <c r="F35" s="110"/>
      <c r="G35" s="91"/>
      <c r="H35" s="91"/>
      <c r="I35" s="91"/>
      <c r="J35" s="111"/>
      <c r="L35" s="79" t="s">
        <v>47</v>
      </c>
    </row>
    <row r="36" spans="2:12" ht="87.75" x14ac:dyDescent="0.3">
      <c r="B36" s="91"/>
      <c r="C36" s="152"/>
      <c r="D36" s="152"/>
      <c r="E36" s="109"/>
      <c r="F36" s="110"/>
      <c r="G36" s="91"/>
      <c r="H36" s="91"/>
      <c r="I36" s="91"/>
      <c r="J36" s="111"/>
      <c r="L36" s="79" t="s">
        <v>47</v>
      </c>
    </row>
    <row r="37" spans="2:12" ht="87.75" x14ac:dyDescent="0.3">
      <c r="B37" s="91"/>
      <c r="C37" s="152"/>
      <c r="D37" s="152"/>
      <c r="E37" s="109"/>
      <c r="F37" s="110"/>
      <c r="G37" s="91"/>
      <c r="H37" s="91"/>
      <c r="I37" s="91"/>
      <c r="J37" s="111"/>
      <c r="L37" s="79" t="s">
        <v>47</v>
      </c>
    </row>
    <row r="38" spans="2:12" ht="87.75" x14ac:dyDescent="0.3">
      <c r="B38" s="91"/>
      <c r="C38" s="152"/>
      <c r="D38" s="152"/>
      <c r="E38" s="109"/>
      <c r="F38" s="110"/>
      <c r="G38" s="91"/>
      <c r="H38" s="91"/>
      <c r="I38" s="91"/>
      <c r="J38" s="111"/>
      <c r="L38" s="79" t="s">
        <v>47</v>
      </c>
    </row>
    <row r="39" spans="2:12" ht="87.75" x14ac:dyDescent="0.3">
      <c r="B39" s="91"/>
      <c r="C39" s="152"/>
      <c r="D39" s="152"/>
      <c r="E39" s="109"/>
      <c r="F39" s="110"/>
      <c r="G39" s="91"/>
      <c r="H39" s="91"/>
      <c r="I39" s="91"/>
      <c r="J39" s="111"/>
      <c r="L39" s="79" t="s">
        <v>47</v>
      </c>
    </row>
    <row r="40" spans="2:12" ht="87.75" x14ac:dyDescent="0.3">
      <c r="B40" s="91"/>
      <c r="C40" s="152"/>
      <c r="D40" s="152"/>
      <c r="E40" s="109"/>
      <c r="F40" s="110"/>
      <c r="G40" s="91"/>
      <c r="H40" s="91"/>
      <c r="I40" s="91"/>
      <c r="J40" s="111"/>
      <c r="L40" s="79" t="s">
        <v>47</v>
      </c>
    </row>
    <row r="41" spans="2:12" ht="87.75" x14ac:dyDescent="0.3">
      <c r="B41" s="91"/>
      <c r="C41" s="152"/>
      <c r="D41" s="152"/>
      <c r="E41" s="109"/>
      <c r="F41" s="110"/>
      <c r="G41" s="91"/>
      <c r="H41" s="91"/>
      <c r="I41" s="91"/>
      <c r="J41" s="111"/>
      <c r="L41" s="79" t="s">
        <v>47</v>
      </c>
    </row>
    <row r="42" spans="2:12" ht="87.75" x14ac:dyDescent="0.3">
      <c r="B42" s="91"/>
      <c r="C42" s="152"/>
      <c r="D42" s="152"/>
      <c r="E42" s="109"/>
      <c r="F42" s="110"/>
      <c r="G42" s="91"/>
      <c r="H42" s="91"/>
      <c r="I42" s="91"/>
      <c r="J42" s="111"/>
      <c r="L42" s="79" t="s">
        <v>47</v>
      </c>
    </row>
    <row r="43" spans="2:12" ht="26.25" x14ac:dyDescent="0.3">
      <c r="B43" s="46"/>
      <c r="C43" s="44"/>
      <c r="D43" s="44"/>
      <c r="E43" s="43"/>
      <c r="F43" s="39"/>
      <c r="G43" s="41"/>
      <c r="H43" s="41"/>
      <c r="I43" s="40"/>
      <c r="J43" s="42"/>
      <c r="L43" s="76" t="s">
        <v>47</v>
      </c>
    </row>
    <row r="44" spans="2:12" ht="26.25" x14ac:dyDescent="0.3">
      <c r="B44" s="46"/>
      <c r="C44" s="44"/>
      <c r="D44" s="44"/>
      <c r="E44" s="43"/>
      <c r="F44" s="39"/>
      <c r="G44" s="41"/>
      <c r="H44" s="41"/>
      <c r="I44" s="40"/>
      <c r="J44" s="42"/>
      <c r="L44" s="76" t="s">
        <v>47</v>
      </c>
    </row>
    <row r="45" spans="2:12" ht="58.5" x14ac:dyDescent="0.3">
      <c r="B45" s="156" t="str">
        <f>IF(MODULO!D13="SI","SPESE","")</f>
        <v>SPESE</v>
      </c>
      <c r="C45" s="156"/>
      <c r="D45" s="156"/>
      <c r="E45" s="156"/>
      <c r="F45" s="156"/>
      <c r="G45" s="156"/>
      <c r="H45" s="156"/>
      <c r="I45" s="156"/>
      <c r="J45" s="156"/>
      <c r="L45" s="77" t="s">
        <v>47</v>
      </c>
    </row>
    <row r="46" spans="2:12" ht="58.5" x14ac:dyDescent="0.3">
      <c r="B46" s="156" t="str">
        <f>IF(MODULO!D13="SI","Autocertificazione spese sostenute","")</f>
        <v>Autocertificazione spese sostenute</v>
      </c>
      <c r="C46" s="156"/>
      <c r="D46" s="156"/>
      <c r="E46" s="156"/>
      <c r="F46" s="156"/>
      <c r="G46" s="156"/>
      <c r="H46" s="156"/>
      <c r="I46" s="156"/>
      <c r="J46" s="156"/>
      <c r="L46" s="77" t="s">
        <v>47</v>
      </c>
    </row>
    <row r="47" spans="2:12" ht="58.5" x14ac:dyDescent="0.3">
      <c r="B47" s="156" t="str">
        <f>IF(MODULO!D13="SI","Viaggi con mezzo proprio","")</f>
        <v>Viaggi con mezzo proprio</v>
      </c>
      <c r="C47" s="156"/>
      <c r="D47" s="156"/>
      <c r="E47" s="156"/>
      <c r="F47" s="156"/>
      <c r="G47" s="156"/>
      <c r="H47" s="156"/>
      <c r="I47" s="156"/>
      <c r="J47" s="156"/>
      <c r="L47" s="77" t="s">
        <v>47</v>
      </c>
    </row>
    <row r="48" spans="2:12" ht="58.5" x14ac:dyDescent="0.3">
      <c r="B48" s="156" t="str">
        <f>IF(MODULO!D13="SI","Motivo trasferta","")</f>
        <v>Motivo trasferta</v>
      </c>
      <c r="C48" s="156"/>
      <c r="D48" s="156" t="str">
        <f>IF(MODULO!D13="SI","Località","")</f>
        <v>Località</v>
      </c>
      <c r="E48" s="156"/>
      <c r="F48" s="136" t="str">
        <f>IF(MODULO!D13="SI","n. viaggi a.r.","")</f>
        <v>n. viaggi a.r.</v>
      </c>
      <c r="G48" s="136" t="str">
        <f>IF(MODULO!D13="SI","km/ viaggio","")</f>
        <v>km/ viaggio</v>
      </c>
      <c r="H48" s="137" t="str">
        <f>IF(MODULO!D13="SI","Totale km","")</f>
        <v>Totale km</v>
      </c>
      <c r="I48" s="136" t="str">
        <f>IF(MODULO!D13="SI","€/km*","")</f>
        <v>€/km*</v>
      </c>
      <c r="J48" s="137" t="str">
        <f>IF(MODULO!D13="SI","Totale €","")</f>
        <v>Totale €</v>
      </c>
      <c r="L48" s="77" t="s">
        <v>47</v>
      </c>
    </row>
    <row r="49" spans="2:12" ht="43.5" x14ac:dyDescent="0.3">
      <c r="B49" s="214"/>
      <c r="C49" s="214"/>
      <c r="D49" s="213"/>
      <c r="E49" s="213"/>
      <c r="F49" s="116"/>
      <c r="G49" s="117"/>
      <c r="H49" s="138" t="str">
        <f t="shared" ref="H49:H58" si="0">IF(F49*G49&gt;0,F49*G49,"")</f>
        <v/>
      </c>
      <c r="I49" s="118"/>
      <c r="J49" s="139" t="str">
        <f t="shared" ref="J49:J58" si="1">IF(TYPE(H49*I49)=16,"",(H49*I49))</f>
        <v/>
      </c>
      <c r="L49" s="78" t="s">
        <v>47</v>
      </c>
    </row>
    <row r="50" spans="2:12" ht="43.5" x14ac:dyDescent="0.3">
      <c r="B50" s="214"/>
      <c r="C50" s="214"/>
      <c r="D50" s="213"/>
      <c r="E50" s="213"/>
      <c r="F50" s="116"/>
      <c r="G50" s="117"/>
      <c r="H50" s="138" t="str">
        <f t="shared" si="0"/>
        <v/>
      </c>
      <c r="I50" s="118"/>
      <c r="J50" s="139" t="str">
        <f t="shared" si="1"/>
        <v/>
      </c>
      <c r="L50" s="78" t="s">
        <v>47</v>
      </c>
    </row>
    <row r="51" spans="2:12" ht="43.5" x14ac:dyDescent="0.3">
      <c r="B51" s="214"/>
      <c r="C51" s="214"/>
      <c r="D51" s="213"/>
      <c r="E51" s="213"/>
      <c r="F51" s="116"/>
      <c r="G51" s="117"/>
      <c r="H51" s="138" t="str">
        <f t="shared" si="0"/>
        <v/>
      </c>
      <c r="I51" s="118"/>
      <c r="J51" s="139" t="str">
        <f t="shared" si="1"/>
        <v/>
      </c>
      <c r="L51" s="78" t="s">
        <v>47</v>
      </c>
    </row>
    <row r="52" spans="2:12" ht="43.5" x14ac:dyDescent="0.3">
      <c r="B52" s="214"/>
      <c r="C52" s="214"/>
      <c r="D52" s="213"/>
      <c r="E52" s="213"/>
      <c r="F52" s="116"/>
      <c r="G52" s="117"/>
      <c r="H52" s="138" t="str">
        <f t="shared" si="0"/>
        <v/>
      </c>
      <c r="I52" s="118"/>
      <c r="J52" s="139" t="str">
        <f t="shared" si="1"/>
        <v/>
      </c>
      <c r="L52" s="78" t="s">
        <v>47</v>
      </c>
    </row>
    <row r="53" spans="2:12" ht="43.5" x14ac:dyDescent="0.3">
      <c r="B53" s="214"/>
      <c r="C53" s="214"/>
      <c r="D53" s="213"/>
      <c r="E53" s="213"/>
      <c r="F53" s="116"/>
      <c r="G53" s="117"/>
      <c r="H53" s="138" t="str">
        <f t="shared" si="0"/>
        <v/>
      </c>
      <c r="I53" s="118"/>
      <c r="J53" s="139" t="str">
        <f t="shared" si="1"/>
        <v/>
      </c>
      <c r="L53" s="78" t="s">
        <v>47</v>
      </c>
    </row>
    <row r="54" spans="2:12" ht="43.5" x14ac:dyDescent="0.3">
      <c r="B54" s="214"/>
      <c r="C54" s="214"/>
      <c r="D54" s="213"/>
      <c r="E54" s="213"/>
      <c r="F54" s="116"/>
      <c r="G54" s="117"/>
      <c r="H54" s="138" t="str">
        <f t="shared" si="0"/>
        <v/>
      </c>
      <c r="I54" s="118"/>
      <c r="J54" s="139" t="str">
        <f t="shared" si="1"/>
        <v/>
      </c>
      <c r="L54" s="78" t="s">
        <v>47</v>
      </c>
    </row>
    <row r="55" spans="2:12" ht="43.5" x14ac:dyDescent="0.3">
      <c r="B55" s="214"/>
      <c r="C55" s="214"/>
      <c r="D55" s="213"/>
      <c r="E55" s="213"/>
      <c r="F55" s="116"/>
      <c r="G55" s="117"/>
      <c r="H55" s="138" t="str">
        <f t="shared" si="0"/>
        <v/>
      </c>
      <c r="I55" s="118"/>
      <c r="J55" s="139" t="str">
        <f t="shared" si="1"/>
        <v/>
      </c>
      <c r="L55" s="78" t="s">
        <v>47</v>
      </c>
    </row>
    <row r="56" spans="2:12" ht="43.5" x14ac:dyDescent="0.3">
      <c r="B56" s="214"/>
      <c r="C56" s="214"/>
      <c r="D56" s="213"/>
      <c r="E56" s="213"/>
      <c r="F56" s="116"/>
      <c r="G56" s="117"/>
      <c r="H56" s="138" t="str">
        <f t="shared" si="0"/>
        <v/>
      </c>
      <c r="I56" s="118"/>
      <c r="J56" s="139" t="str">
        <f t="shared" si="1"/>
        <v/>
      </c>
      <c r="L56" s="78" t="s">
        <v>47</v>
      </c>
    </row>
    <row r="57" spans="2:12" ht="43.5" x14ac:dyDescent="0.3">
      <c r="B57" s="214"/>
      <c r="C57" s="214"/>
      <c r="D57" s="213"/>
      <c r="E57" s="213"/>
      <c r="F57" s="116"/>
      <c r="G57" s="117"/>
      <c r="H57" s="138" t="str">
        <f t="shared" si="0"/>
        <v/>
      </c>
      <c r="I57" s="118"/>
      <c r="J57" s="139" t="str">
        <f t="shared" si="1"/>
        <v/>
      </c>
      <c r="L57" s="78" t="s">
        <v>47</v>
      </c>
    </row>
    <row r="58" spans="2:12" ht="43.5" x14ac:dyDescent="0.3">
      <c r="B58" s="214"/>
      <c r="C58" s="214"/>
      <c r="D58" s="213"/>
      <c r="E58" s="213"/>
      <c r="F58" s="116"/>
      <c r="G58" s="117"/>
      <c r="H58" s="138" t="str">
        <f t="shared" si="0"/>
        <v/>
      </c>
      <c r="I58" s="118"/>
      <c r="J58" s="139" t="str">
        <f t="shared" si="1"/>
        <v/>
      </c>
      <c r="L58" s="78" t="s">
        <v>47</v>
      </c>
    </row>
    <row r="59" spans="2:12" ht="43.5" x14ac:dyDescent="0.3">
      <c r="B59" s="157" t="str">
        <f>IF(I48="","","* costo chilometrico pari a 1/5 del prezzo aggiornato della benzina verde AGIP")</f>
        <v>* costo chilometrico pari a 1/5 del prezzo aggiornato della benzina verde AGIP</v>
      </c>
      <c r="C59" s="157"/>
      <c r="D59" s="157"/>
      <c r="E59" s="157"/>
      <c r="F59" s="157"/>
      <c r="G59" s="157"/>
      <c r="H59" s="157"/>
      <c r="I59" s="157"/>
      <c r="J59" s="157"/>
      <c r="L59" s="78" t="s">
        <v>47</v>
      </c>
    </row>
    <row r="60" spans="2:12" ht="33" x14ac:dyDescent="0.3">
      <c r="B60" s="61"/>
      <c r="C60" s="62"/>
      <c r="D60" s="62"/>
      <c r="E60" s="63"/>
      <c r="F60" s="64"/>
      <c r="G60" s="61"/>
      <c r="H60" s="61"/>
      <c r="I60" s="61"/>
      <c r="J60" s="65"/>
      <c r="L60" s="76" t="s">
        <v>47</v>
      </c>
    </row>
    <row r="61" spans="2:12" ht="69.75" customHeight="1" x14ac:dyDescent="0.3">
      <c r="B61" s="156" t="str">
        <f>IF(MODULO!D14="SI","Spese per cancelleria (stampa copie, fascicolazione, fotografie a colori, copia di cortesia...)","")</f>
        <v>Spese per cancelleria (stampa copie, fascicolazione, fotografie a colori, copia di cortesia...)</v>
      </c>
      <c r="C61" s="156"/>
      <c r="D61" s="156"/>
      <c r="E61" s="156"/>
      <c r="F61" s="156" t="str">
        <f>IF(MODULO!D14="SI","Quantità","")</f>
        <v>Quantità</v>
      </c>
      <c r="G61" s="156"/>
      <c r="H61" s="156"/>
      <c r="I61" s="140" t="str">
        <f>IF(MODULO!D14="SI","€/cad.","")</f>
        <v>€/cad.</v>
      </c>
      <c r="J61" s="141" t="str">
        <f>IF(MODULO!D14="SI","Totale €","")</f>
        <v>Totale €</v>
      </c>
      <c r="L61" s="77" t="s">
        <v>47</v>
      </c>
    </row>
    <row r="62" spans="2:12" ht="43.5" x14ac:dyDescent="0.3">
      <c r="B62" s="161" t="str">
        <f>IF(B61="","","Fino a 100 fogli")</f>
        <v>Fino a 100 fogli</v>
      </c>
      <c r="C62" s="161"/>
      <c r="D62" s="161"/>
      <c r="E62" s="161"/>
      <c r="F62" s="194"/>
      <c r="G62" s="194"/>
      <c r="H62" s="194"/>
      <c r="I62" s="151">
        <v>250</v>
      </c>
      <c r="J62" s="120" t="str">
        <f>IF(F62*I62&gt;0,F62*I62,"")</f>
        <v/>
      </c>
      <c r="L62" s="78" t="s">
        <v>47</v>
      </c>
    </row>
    <row r="63" spans="2:12" ht="43.5" x14ac:dyDescent="0.3">
      <c r="B63" s="161" t="str">
        <f>IF(B61="","","Da 100 a 200 fogli")</f>
        <v>Da 100 a 200 fogli</v>
      </c>
      <c r="C63" s="161"/>
      <c r="D63" s="161"/>
      <c r="E63" s="161"/>
      <c r="F63" s="194"/>
      <c r="G63" s="194"/>
      <c r="H63" s="194"/>
      <c r="I63" s="151">
        <v>300</v>
      </c>
      <c r="J63" s="120" t="str">
        <f>IF(F63*I63&gt;0,F63*I63,"")</f>
        <v/>
      </c>
      <c r="L63" s="78" t="s">
        <v>47</v>
      </c>
    </row>
    <row r="64" spans="2:12" ht="43.5" x14ac:dyDescent="0.3">
      <c r="B64" s="161" t="str">
        <f>IF(B61="","","Oltre  200 fogli")</f>
        <v>Oltre  200 fogli</v>
      </c>
      <c r="C64" s="161"/>
      <c r="D64" s="161"/>
      <c r="E64" s="161"/>
      <c r="F64" s="194"/>
      <c r="G64" s="194"/>
      <c r="H64" s="194"/>
      <c r="I64" s="151">
        <v>350</v>
      </c>
      <c r="J64" s="120" t="str">
        <f>IF(F64*I64&gt;0,F64*I64,"")</f>
        <v/>
      </c>
      <c r="L64" s="78" t="s">
        <v>47</v>
      </c>
    </row>
    <row r="65" spans="2:12" ht="43.5" customHeight="1" x14ac:dyDescent="0.3">
      <c r="B65" s="234" t="str">
        <f>IF(B61="","","Le spese sono comprensive di redazione copia criptata per ogni lotto con relativi allegati")</f>
        <v>Le spese sono comprensive di redazione copia criptata per ogni lotto con relativi allegati</v>
      </c>
      <c r="C65" s="235"/>
      <c r="D65" s="235"/>
      <c r="E65" s="235"/>
      <c r="F65" s="235"/>
      <c r="G65" s="235"/>
      <c r="H65" s="235"/>
      <c r="I65" s="235"/>
      <c r="J65" s="236"/>
      <c r="L65" s="78" t="s">
        <v>47</v>
      </c>
    </row>
    <row r="66" spans="2:12" ht="30" x14ac:dyDescent="0.3">
      <c r="B66" s="195" t="str">
        <f>IF(J66="","","Sommano spese soggette ad I.V.A.")</f>
        <v/>
      </c>
      <c r="C66" s="195"/>
      <c r="D66" s="195"/>
      <c r="E66" s="195"/>
      <c r="F66" s="195"/>
      <c r="G66" s="195"/>
      <c r="H66" s="195"/>
      <c r="I66" s="195"/>
      <c r="J66" s="121" t="str">
        <f>IF(SUM(J62:J65)+SUM(J49:J58)&gt;0,SUM(J62:J65)+SUM(J49:J58),"")</f>
        <v/>
      </c>
      <c r="L66" s="76" t="s">
        <v>47</v>
      </c>
    </row>
    <row r="67" spans="2:12" ht="26.25" x14ac:dyDescent="0.3">
      <c r="B67" s="46"/>
      <c r="C67" s="44"/>
      <c r="D67" s="44"/>
      <c r="E67" s="43"/>
      <c r="F67" s="39"/>
      <c r="G67" s="41"/>
      <c r="H67" s="41"/>
      <c r="I67" s="40"/>
      <c r="J67" s="42"/>
      <c r="L67" s="76" t="s">
        <v>47</v>
      </c>
    </row>
    <row r="68" spans="2:12" ht="26.25" x14ac:dyDescent="0.3">
      <c r="B68" s="46"/>
      <c r="C68" s="44"/>
      <c r="D68" s="44"/>
      <c r="E68" s="43"/>
      <c r="F68" s="39"/>
      <c r="G68" s="41"/>
      <c r="H68" s="41"/>
      <c r="I68" s="40"/>
      <c r="J68" s="42"/>
      <c r="L68" s="76" t="s">
        <v>47</v>
      </c>
    </row>
    <row r="69" spans="2:12" ht="60.75" customHeight="1" x14ac:dyDescent="0.3">
      <c r="B69" s="156" t="str">
        <f>IF(MODULO!D15="SI","Spese esenti IVA ex art. 15, come da note allegate","")</f>
        <v/>
      </c>
      <c r="C69" s="156"/>
      <c r="D69" s="156"/>
      <c r="E69" s="156"/>
      <c r="F69" s="156"/>
      <c r="G69" s="156"/>
      <c r="H69" s="156"/>
      <c r="I69" s="156"/>
      <c r="J69" s="156"/>
      <c r="K69" s="57"/>
      <c r="L69" s="78" t="s">
        <v>47</v>
      </c>
    </row>
    <row r="70" spans="2:12" ht="60.75" customHeight="1" x14ac:dyDescent="0.3">
      <c r="B70" s="161" t="str">
        <f>IF(B69="","","Spese postali / telegramma")</f>
        <v/>
      </c>
      <c r="C70" s="161"/>
      <c r="D70" s="161"/>
      <c r="E70" s="161"/>
      <c r="F70" s="161"/>
      <c r="G70" s="161"/>
      <c r="H70" s="161"/>
      <c r="I70" s="161"/>
      <c r="J70" s="122"/>
      <c r="K70" s="57"/>
      <c r="L70" s="78" t="s">
        <v>47</v>
      </c>
    </row>
    <row r="71" spans="2:12" ht="60.75" customHeight="1" x14ac:dyDescent="0.3">
      <c r="B71" s="161" t="str">
        <f>IF(B69="","","Visure catastali (vedi nota)")</f>
        <v/>
      </c>
      <c r="C71" s="161"/>
      <c r="D71" s="161"/>
      <c r="E71" s="161"/>
      <c r="F71" s="161"/>
      <c r="G71" s="161"/>
      <c r="H71" s="161"/>
      <c r="I71" s="161"/>
      <c r="J71" s="122"/>
      <c r="K71" s="57"/>
      <c r="L71" s="78" t="s">
        <v>47</v>
      </c>
    </row>
    <row r="72" spans="2:12" ht="60.75" customHeight="1" x14ac:dyDescent="0.3">
      <c r="B72" s="161" t="str">
        <f>IF(B69="","","Visure ipotecarie/camerali (vedi nota)")</f>
        <v/>
      </c>
      <c r="C72" s="161"/>
      <c r="D72" s="161"/>
      <c r="E72" s="161"/>
      <c r="F72" s="161"/>
      <c r="G72" s="161"/>
      <c r="H72" s="161"/>
      <c r="I72" s="161"/>
      <c r="J72" s="122"/>
      <c r="K72" s="57"/>
      <c r="L72" s="78" t="s">
        <v>47</v>
      </c>
    </row>
    <row r="73" spans="2:12" ht="60.75" customHeight="1" x14ac:dyDescent="0.3">
      <c r="B73" s="161" t="str">
        <f>IF(B69="","","Spese di estrazione atti di compravendita immobili comparabili")</f>
        <v/>
      </c>
      <c r="C73" s="161"/>
      <c r="D73" s="161"/>
      <c r="E73" s="161"/>
      <c r="F73" s="161"/>
      <c r="G73" s="161"/>
      <c r="H73" s="161"/>
      <c r="I73" s="161"/>
      <c r="J73" s="122"/>
      <c r="K73" s="57"/>
      <c r="L73" s="78" t="s">
        <v>47</v>
      </c>
    </row>
    <row r="74" spans="2:12" ht="60.75" customHeight="1" x14ac:dyDescent="0.3">
      <c r="B74" s="161" t="str">
        <f>IF(B69="","","Spese per copia conforme atto e/o archivio notarile")</f>
        <v/>
      </c>
      <c r="C74" s="161"/>
      <c r="D74" s="161"/>
      <c r="E74" s="161"/>
      <c r="F74" s="161"/>
      <c r="G74" s="161"/>
      <c r="H74" s="161"/>
      <c r="I74" s="161"/>
      <c r="J74" s="122"/>
      <c r="K74" s="57"/>
      <c r="L74" s="78" t="s">
        <v>47</v>
      </c>
    </row>
    <row r="75" spans="2:12" ht="60.75" customHeight="1" x14ac:dyDescent="0.3">
      <c r="B75" s="161" t="str">
        <f>IF(B69="","","Accesso agli atti c/o Comune")</f>
        <v/>
      </c>
      <c r="C75" s="161"/>
      <c r="D75" s="161">
        <f>D49</f>
        <v>0</v>
      </c>
      <c r="E75" s="161"/>
      <c r="F75" s="161"/>
      <c r="G75" s="161"/>
      <c r="H75" s="161"/>
      <c r="I75" s="161"/>
      <c r="J75" s="122"/>
      <c r="K75" s="57"/>
      <c r="L75" s="78" t="s">
        <v>47</v>
      </c>
    </row>
    <row r="76" spans="2:12" ht="60.75" customHeight="1" x14ac:dyDescent="0.3">
      <c r="B76" s="161" t="str">
        <f>IF(B69="","","Diritti di riproduzione C.D.U. + 2 marche bollo da 16,00 €")</f>
        <v/>
      </c>
      <c r="C76" s="161"/>
      <c r="D76" s="161"/>
      <c r="E76" s="161"/>
      <c r="F76" s="161"/>
      <c r="G76" s="161"/>
      <c r="H76" s="161"/>
      <c r="I76" s="161"/>
      <c r="J76" s="122"/>
      <c r="K76" s="57"/>
      <c r="L76" s="78" t="s">
        <v>47</v>
      </c>
    </row>
    <row r="77" spans="2:12" ht="60.75" customHeight="1" x14ac:dyDescent="0.3">
      <c r="B77" s="161" t="str">
        <f>IF(B69="","","Spese di parcheggio documentate (vedi scontrino)")</f>
        <v/>
      </c>
      <c r="C77" s="161"/>
      <c r="D77" s="161"/>
      <c r="E77" s="161"/>
      <c r="F77" s="161"/>
      <c r="G77" s="161"/>
      <c r="H77" s="161"/>
      <c r="I77" s="161"/>
      <c r="J77" s="122"/>
      <c r="K77" s="57"/>
      <c r="L77" s="78" t="s">
        <v>47</v>
      </c>
    </row>
    <row r="78" spans="2:12" ht="60.75" customHeight="1" x14ac:dyDescent="0.3">
      <c r="B78" s="161" t="str">
        <f>IF(B69="","","Spese pedaggio autostradale (allegata fattura/documento viaggio)")</f>
        <v/>
      </c>
      <c r="C78" s="161"/>
      <c r="D78" s="161"/>
      <c r="E78" s="161"/>
      <c r="F78" s="161"/>
      <c r="G78" s="161"/>
      <c r="H78" s="161"/>
      <c r="I78" s="161"/>
      <c r="J78" s="122"/>
      <c r="K78" s="57"/>
      <c r="L78" s="78" t="s">
        <v>47</v>
      </c>
    </row>
    <row r="79" spans="2:12" ht="60.75" customHeight="1" x14ac:dyDescent="0.3">
      <c r="B79" s="157" t="str">
        <f>IF(B69="","","Altre spese documentate (allegare fattura non proforma):")</f>
        <v/>
      </c>
      <c r="C79" s="157"/>
      <c r="D79" s="238"/>
      <c r="E79" s="239"/>
      <c r="F79" s="239"/>
      <c r="G79" s="239"/>
      <c r="H79" s="239"/>
      <c r="I79" s="240"/>
      <c r="J79" s="122"/>
      <c r="K79" s="57"/>
      <c r="L79" s="78" t="s">
        <v>47</v>
      </c>
    </row>
    <row r="80" spans="2:12" ht="32.25" x14ac:dyDescent="0.3">
      <c r="B80" s="201" t="str">
        <f>IF(J80="","","Sommano spese esenti ex art. 15")</f>
        <v/>
      </c>
      <c r="C80" s="201"/>
      <c r="D80" s="201"/>
      <c r="E80" s="201"/>
      <c r="F80" s="201"/>
      <c r="G80" s="201"/>
      <c r="H80" s="201"/>
      <c r="I80" s="201"/>
      <c r="J80" s="54" t="str">
        <f>IF(SUM(J70:J79)&gt;0,SUM(J70:J79),"")</f>
        <v/>
      </c>
      <c r="K80" s="57"/>
      <c r="L80" s="76" t="s">
        <v>47</v>
      </c>
    </row>
    <row r="81" spans="1:12" ht="26.25" x14ac:dyDescent="0.3">
      <c r="B81" s="58"/>
      <c r="C81" s="44"/>
      <c r="D81" s="44"/>
      <c r="E81" s="43"/>
      <c r="F81" s="39"/>
      <c r="G81" s="41"/>
      <c r="H81" s="41"/>
      <c r="I81" s="40"/>
      <c r="J81" s="42"/>
      <c r="K81" s="57"/>
      <c r="L81" s="76" t="s">
        <v>47</v>
      </c>
    </row>
    <row r="82" spans="1:12" ht="26.25" x14ac:dyDescent="0.3">
      <c r="B82" s="58"/>
      <c r="C82" s="44"/>
      <c r="D82" s="44"/>
      <c r="E82" s="43"/>
      <c r="F82" s="39"/>
      <c r="G82" s="41"/>
      <c r="H82" s="41"/>
      <c r="I82" s="40"/>
      <c r="J82" s="42"/>
      <c r="K82" s="57"/>
      <c r="L82" s="76" t="s">
        <v>47</v>
      </c>
    </row>
    <row r="83" spans="1:12" ht="58.5" x14ac:dyDescent="0.4">
      <c r="A83" s="123"/>
      <c r="B83" s="155" t="str">
        <f>IF(MODULO!D16="Si","Compenso ex art. 13 
D.M. 30.05.2002","")</f>
        <v/>
      </c>
      <c r="C83" s="155"/>
      <c r="D83" s="155"/>
      <c r="E83" s="156"/>
      <c r="F83" s="156"/>
      <c r="G83" s="156"/>
      <c r="H83" s="156"/>
      <c r="I83" s="156"/>
      <c r="J83" s="156"/>
      <c r="K83" s="124"/>
      <c r="L83" s="77" t="s">
        <v>47</v>
      </c>
    </row>
    <row r="84" spans="1:12" ht="96.75" customHeight="1" x14ac:dyDescent="0.4">
      <c r="A84" s="124"/>
      <c r="B84" s="204" t="str">
        <f>IF(B83="","","Indicare il numero dei lotti utili ai fini della liquidazione del compenso e non ai fini della vendita forzosa")</f>
        <v/>
      </c>
      <c r="C84" s="205"/>
      <c r="D84" s="206"/>
      <c r="E84" s="142" t="str">
        <f>IF(B83="","","Identificativo progressivo lotto")</f>
        <v/>
      </c>
      <c r="F84" s="156" t="str">
        <f>IF(B83="","","Stima per vendita forzosa")</f>
        <v/>
      </c>
      <c r="G84" s="156"/>
      <c r="H84" s="137" t="str">
        <f>IF(B83="","","Minimo tariffa €")</f>
        <v/>
      </c>
      <c r="I84" s="137" t="str">
        <f>IF(B83="","","Massimo tariffa €")</f>
        <v/>
      </c>
      <c r="J84" s="136" t="str">
        <f>IF(B83="","","Compenso richiesto €")</f>
        <v/>
      </c>
      <c r="K84" s="124"/>
      <c r="L84" s="77" t="s">
        <v>47</v>
      </c>
    </row>
    <row r="85" spans="1:12" ht="113.25" customHeight="1" x14ac:dyDescent="0.4">
      <c r="A85" s="124"/>
      <c r="B85" s="207" t="str">
        <f>IF(B83="",""," (vanno sommati i beni nello stesso complesso/Comune se analoghi per tipologia e categoria,  ad es. 3 autorimesse nello stesso stabile formano  un solo lotto ai fini della liquidazione sebbene possano essere 3 lotti distinti ai fini della vendita)")</f>
        <v/>
      </c>
      <c r="C85" s="208"/>
      <c r="D85" s="209"/>
      <c r="E85" s="92"/>
      <c r="F85" s="202"/>
      <c r="G85" s="203"/>
      <c r="H85" s="143" t="str">
        <f>IF(F85="","",'Art. 13'!G13)</f>
        <v/>
      </c>
      <c r="I85" s="143" t="str">
        <f>IF(F85="","",'Art. 13'!H13)</f>
        <v/>
      </c>
      <c r="J85" s="112"/>
      <c r="K85" s="124"/>
      <c r="L85" s="80" t="s">
        <v>47</v>
      </c>
    </row>
    <row r="86" spans="1:12" ht="105.75" customHeight="1" x14ac:dyDescent="0.4">
      <c r="A86" s="124"/>
      <c r="B86" s="218" t="str">
        <f>IF(E85&gt;0,IF(B83="","",CONCATENATE("N° Lotti: ",8-COUNTIF(E85:E92,""))),"")</f>
        <v/>
      </c>
      <c r="C86" s="219"/>
      <c r="D86" s="220"/>
      <c r="E86" s="92"/>
      <c r="F86" s="202"/>
      <c r="G86" s="203"/>
      <c r="H86" s="143" t="str">
        <f>IF(F86="","",'Art. 13'!G24)</f>
        <v/>
      </c>
      <c r="I86" s="143" t="str">
        <f>IF(F86="","",'Art. 13'!H24)</f>
        <v/>
      </c>
      <c r="J86" s="112"/>
      <c r="K86" s="124"/>
      <c r="L86" s="78" t="s">
        <v>47</v>
      </c>
    </row>
    <row r="87" spans="1:12" ht="105.75" customHeight="1" x14ac:dyDescent="0.4">
      <c r="A87" s="123"/>
      <c r="B87" s="198" t="str">
        <f>IF($B$86&gt;"","_","")</f>
        <v/>
      </c>
      <c r="C87" s="199"/>
      <c r="D87" s="200"/>
      <c r="E87" s="92"/>
      <c r="F87" s="202"/>
      <c r="G87" s="203"/>
      <c r="H87" s="143" t="str">
        <f>IF(F87="","",'Art. 13'!G35)</f>
        <v/>
      </c>
      <c r="I87" s="143" t="str">
        <f>IF(F87="","",'Art. 13'!H35)</f>
        <v/>
      </c>
      <c r="J87" s="112"/>
      <c r="K87" s="124"/>
      <c r="L87" s="78" t="s">
        <v>47</v>
      </c>
    </row>
    <row r="88" spans="1:12" ht="105.75" customHeight="1" x14ac:dyDescent="0.4">
      <c r="A88" s="123"/>
      <c r="B88" s="198" t="str">
        <f t="shared" ref="B88:B92" si="2">IF($B$86&gt;"","_","")</f>
        <v/>
      </c>
      <c r="C88" s="199"/>
      <c r="D88" s="200"/>
      <c r="E88" s="92"/>
      <c r="F88" s="196"/>
      <c r="G88" s="196"/>
      <c r="H88" s="143" t="str">
        <f>IF(F88="","",'Art. 13'!G46)</f>
        <v/>
      </c>
      <c r="I88" s="143" t="str">
        <f>IF(F88="","",'Art. 13'!H46)</f>
        <v/>
      </c>
      <c r="J88" s="112"/>
      <c r="K88" s="124"/>
      <c r="L88" s="78" t="s">
        <v>47</v>
      </c>
    </row>
    <row r="89" spans="1:12" ht="105.75" customHeight="1" x14ac:dyDescent="0.4">
      <c r="A89" s="123"/>
      <c r="B89" s="198" t="str">
        <f t="shared" si="2"/>
        <v/>
      </c>
      <c r="C89" s="199"/>
      <c r="D89" s="200"/>
      <c r="E89" s="92"/>
      <c r="F89" s="196"/>
      <c r="G89" s="196"/>
      <c r="H89" s="143" t="str">
        <f>IF(F89="","",'Art. 13'!G57)</f>
        <v/>
      </c>
      <c r="I89" s="143" t="str">
        <f>IF(F89="","",'Art. 13'!H57)</f>
        <v/>
      </c>
      <c r="J89" s="112"/>
      <c r="K89" s="124"/>
      <c r="L89" s="78" t="s">
        <v>47</v>
      </c>
    </row>
    <row r="90" spans="1:12" ht="105.75" customHeight="1" x14ac:dyDescent="0.4">
      <c r="A90" s="123"/>
      <c r="B90" s="198" t="str">
        <f t="shared" si="2"/>
        <v/>
      </c>
      <c r="C90" s="199"/>
      <c r="D90" s="200"/>
      <c r="E90" s="92"/>
      <c r="F90" s="196"/>
      <c r="G90" s="196"/>
      <c r="H90" s="143" t="str">
        <f>IF(F90="","",'Art. 13'!G68)</f>
        <v/>
      </c>
      <c r="I90" s="143" t="str">
        <f>IF(F90="","",'Art. 13'!H68)</f>
        <v/>
      </c>
      <c r="J90" s="112"/>
      <c r="K90" s="124"/>
      <c r="L90" s="78" t="s">
        <v>47</v>
      </c>
    </row>
    <row r="91" spans="1:12" ht="105.75" customHeight="1" x14ac:dyDescent="0.4">
      <c r="A91" s="123"/>
      <c r="B91" s="198" t="str">
        <f t="shared" si="2"/>
        <v/>
      </c>
      <c r="C91" s="199"/>
      <c r="D91" s="200"/>
      <c r="E91" s="92"/>
      <c r="F91" s="196"/>
      <c r="G91" s="196"/>
      <c r="H91" s="143" t="str">
        <f>IF(F91="","",'Art. 13'!G79)</f>
        <v/>
      </c>
      <c r="I91" s="143" t="str">
        <f>IF(F91="","",'Art. 13'!H79)</f>
        <v/>
      </c>
      <c r="J91" s="112"/>
      <c r="K91" s="124"/>
      <c r="L91" s="78" t="s">
        <v>47</v>
      </c>
    </row>
    <row r="92" spans="1:12" ht="105.75" customHeight="1" x14ac:dyDescent="0.4">
      <c r="A92" s="123"/>
      <c r="B92" s="210" t="str">
        <f t="shared" si="2"/>
        <v/>
      </c>
      <c r="C92" s="211"/>
      <c r="D92" s="212"/>
      <c r="E92" s="92"/>
      <c r="F92" s="196"/>
      <c r="G92" s="196"/>
      <c r="H92" s="143" t="str">
        <f>IF(F92="","",'Art. 13'!G90)</f>
        <v/>
      </c>
      <c r="I92" s="143" t="str">
        <f>IF(F92="","",'Art. 13'!H90)</f>
        <v/>
      </c>
      <c r="J92" s="112"/>
      <c r="K92" s="124"/>
      <c r="L92" s="78" t="s">
        <v>47</v>
      </c>
    </row>
    <row r="93" spans="1:12" ht="43.5" x14ac:dyDescent="0.4">
      <c r="A93" s="123"/>
      <c r="B93" s="153" t="str">
        <f>IF(B83="","","Subtotale:")</f>
        <v/>
      </c>
      <c r="C93" s="153"/>
      <c r="D93" s="153"/>
      <c r="E93" s="154"/>
      <c r="F93" s="197" t="str">
        <f>IF(SUM(F85:F92)&gt;0,SUM(F85:F92),"")</f>
        <v/>
      </c>
      <c r="G93" s="197"/>
      <c r="H93" s="144" t="str">
        <f>IF(SUM(H85:H92)&gt;0,SUM(H85:H92),"")</f>
        <v/>
      </c>
      <c r="I93" s="144" t="str">
        <f>IF(SUM(I85:I92)&gt;0,SUM(I85:I92),"")</f>
        <v/>
      </c>
      <c r="J93" s="145" t="str">
        <f>IF(SUM(J85:J92)&gt;0,SUM(J85:J92),"")</f>
        <v/>
      </c>
      <c r="K93" s="124"/>
      <c r="L93" s="78" t="s">
        <v>47</v>
      </c>
    </row>
    <row r="94" spans="1:12" ht="121.5" x14ac:dyDescent="0.4">
      <c r="A94" s="123"/>
      <c r="B94" s="157" t="str">
        <f>IF(B83="","","Motivazione compenso richiesto:")</f>
        <v/>
      </c>
      <c r="C94" s="157"/>
      <c r="D94" s="162" t="s">
        <v>74</v>
      </c>
      <c r="E94" s="162"/>
      <c r="F94" s="162"/>
      <c r="G94" s="162"/>
      <c r="H94" s="162"/>
      <c r="I94" s="162"/>
      <c r="J94" s="162"/>
      <c r="K94" s="124"/>
      <c r="L94" s="69" t="s">
        <v>47</v>
      </c>
    </row>
    <row r="95" spans="1:12" ht="43.5" customHeight="1" x14ac:dyDescent="0.4">
      <c r="A95" s="123"/>
      <c r="B95" s="156" t="str">
        <f>IF(MODULO!D17="SI","Eventuale aumento ex art. 52 T.U. NR. 115/2002 (da 1% a 100 %)","")</f>
        <v/>
      </c>
      <c r="C95" s="156"/>
      <c r="D95" s="156"/>
      <c r="E95" s="156"/>
      <c r="F95" s="156"/>
      <c r="G95" s="156"/>
      <c r="H95" s="156"/>
      <c r="I95" s="156"/>
      <c r="J95" s="156"/>
      <c r="K95" s="124"/>
      <c r="L95" s="78" t="s">
        <v>47</v>
      </c>
    </row>
    <row r="96" spans="1:12" ht="121.5" x14ac:dyDescent="0.4">
      <c r="A96" s="123"/>
      <c r="B96" s="146" t="str">
        <f>IF(B95="","","Motivazione:")</f>
        <v/>
      </c>
      <c r="C96" s="126" t="s">
        <v>75</v>
      </c>
      <c r="D96" s="163" t="str">
        <f>IF(B95="","","Importo su cui applicare l'art. 52:")</f>
        <v/>
      </c>
      <c r="E96" s="163"/>
      <c r="F96" s="164"/>
      <c r="G96" s="164"/>
      <c r="H96" s="147" t="str">
        <f>IF(B95="","","Percentuale richiesta (ad es. 50%):")</f>
        <v/>
      </c>
      <c r="I96" s="127"/>
      <c r="J96" s="145">
        <f>IF(TYPE(I96*F96)=16,"",(I96*F96))</f>
        <v>0</v>
      </c>
      <c r="K96" s="124"/>
      <c r="L96" s="69" t="s">
        <v>47</v>
      </c>
    </row>
    <row r="97" spans="1:12" ht="30.75" x14ac:dyDescent="0.4">
      <c r="A97" s="123"/>
      <c r="B97" s="128"/>
      <c r="C97" s="129"/>
      <c r="D97" s="129"/>
      <c r="E97" s="130"/>
      <c r="F97" s="131"/>
      <c r="G97" s="128"/>
      <c r="H97" s="128"/>
      <c r="I97" s="128"/>
      <c r="J97" s="132"/>
      <c r="K97" s="124"/>
      <c r="L97" s="76" t="s">
        <v>47</v>
      </c>
    </row>
    <row r="98" spans="1:12" ht="30.75" x14ac:dyDescent="0.4">
      <c r="A98" s="123"/>
      <c r="B98" s="128"/>
      <c r="C98" s="129"/>
      <c r="D98" s="129"/>
      <c r="E98" s="130"/>
      <c r="F98" s="131"/>
      <c r="G98" s="128"/>
      <c r="H98" s="128"/>
      <c r="I98" s="128"/>
      <c r="J98" s="132"/>
      <c r="K98" s="124"/>
      <c r="L98" s="76" t="s">
        <v>47</v>
      </c>
    </row>
    <row r="99" spans="1:12" ht="58.5" customHeight="1" x14ac:dyDescent="0.4">
      <c r="A99" s="123"/>
      <c r="B99" s="155" t="str">
        <f>IF(MODULO!D18="SI","Compenso ex art. 12 del D.M. 30.05.2002
- COMMA 1 -","")</f>
        <v/>
      </c>
      <c r="C99" s="155"/>
      <c r="D99" s="155"/>
      <c r="E99" s="156"/>
      <c r="F99" s="156"/>
      <c r="G99" s="156"/>
      <c r="H99" s="156"/>
      <c r="I99" s="156"/>
      <c r="J99" s="156"/>
      <c r="K99" s="124"/>
      <c r="L99" s="77" t="s">
        <v>47</v>
      </c>
    </row>
    <row r="100" spans="1:12" ht="82.5" customHeight="1" x14ac:dyDescent="0.4">
      <c r="A100" s="123"/>
      <c r="B100" s="241" t="str">
        <f>IF(B99="","","Per ciascun lotto di stima (non di vendita) indicare le attività svolte (ad es. due diligence con accesso agli atti in ciascun Comune, CDU, conformità catastale, edilizia ed urbanistica,  ricostruzione o controllo ipotecario, ")</f>
        <v/>
      </c>
      <c r="C100" s="242"/>
      <c r="D100" s="243"/>
      <c r="E100" s="142" t="str">
        <f>IF(B99="","","Identificativo progressivo lotto")</f>
        <v/>
      </c>
      <c r="F100" s="156" t="str">
        <f>IF(B99="","","DESCRIZIONE SOMMARIA ATTIVITÀ SVOLTE")</f>
        <v/>
      </c>
      <c r="G100" s="156"/>
      <c r="H100" s="156"/>
      <c r="I100" s="156"/>
      <c r="J100" s="136" t="str">
        <f>IF(B99="","","Compenso richiesto €")</f>
        <v/>
      </c>
      <c r="K100" s="124"/>
      <c r="L100" s="77" t="s">
        <v>47</v>
      </c>
    </row>
    <row r="101" spans="1:12" ht="43.5" customHeight="1" x14ac:dyDescent="0.4">
      <c r="A101" s="123"/>
      <c r="B101" s="244"/>
      <c r="C101" s="245"/>
      <c r="D101" s="246"/>
      <c r="E101" s="92"/>
      <c r="F101" s="152"/>
      <c r="G101" s="152"/>
      <c r="H101" s="152"/>
      <c r="I101" s="152"/>
      <c r="J101" s="133"/>
      <c r="K101" s="124"/>
      <c r="L101" s="78" t="s">
        <v>47</v>
      </c>
    </row>
    <row r="102" spans="1:12" ht="43.5" x14ac:dyDescent="0.4">
      <c r="A102" s="123"/>
      <c r="B102" s="178" t="str">
        <f>IF(B100="","","calcolo di eventuali oneri di sanatoria ecc) 
Da € 145,12 a € 970,42")</f>
        <v/>
      </c>
      <c r="C102" s="179"/>
      <c r="D102" s="180"/>
      <c r="E102" s="92"/>
      <c r="F102" s="152"/>
      <c r="G102" s="152"/>
      <c r="H102" s="152"/>
      <c r="I102" s="152"/>
      <c r="J102" s="133"/>
      <c r="K102" s="124"/>
      <c r="L102" s="78" t="s">
        <v>47</v>
      </c>
    </row>
    <row r="103" spans="1:12" ht="43.5" x14ac:dyDescent="0.4">
      <c r="A103" s="123"/>
      <c r="B103" s="178"/>
      <c r="C103" s="179"/>
      <c r="D103" s="180"/>
      <c r="E103" s="92"/>
      <c r="F103" s="152"/>
      <c r="G103" s="152"/>
      <c r="H103" s="152"/>
      <c r="I103" s="152"/>
      <c r="J103" s="133"/>
      <c r="K103" s="124"/>
      <c r="L103" s="78" t="s">
        <v>47</v>
      </c>
    </row>
    <row r="104" spans="1:12" ht="43.5" x14ac:dyDescent="0.4">
      <c r="A104" s="123"/>
      <c r="B104" s="178"/>
      <c r="C104" s="179"/>
      <c r="D104" s="180"/>
      <c r="E104" s="92"/>
      <c r="F104" s="152"/>
      <c r="G104" s="152"/>
      <c r="H104" s="152"/>
      <c r="I104" s="152"/>
      <c r="J104" s="133"/>
      <c r="K104" s="124"/>
      <c r="L104" s="78" t="s">
        <v>47</v>
      </c>
    </row>
    <row r="105" spans="1:12" ht="43.5" x14ac:dyDescent="0.4">
      <c r="A105" s="123"/>
      <c r="B105" s="178"/>
      <c r="C105" s="179"/>
      <c r="D105" s="180"/>
      <c r="E105" s="92"/>
      <c r="F105" s="152"/>
      <c r="G105" s="152"/>
      <c r="H105" s="152"/>
      <c r="I105" s="152"/>
      <c r="J105" s="133"/>
      <c r="K105" s="124"/>
      <c r="L105" s="78" t="s">
        <v>47</v>
      </c>
    </row>
    <row r="106" spans="1:12" ht="43.5" x14ac:dyDescent="0.4">
      <c r="A106" s="123"/>
      <c r="B106" s="178"/>
      <c r="C106" s="179"/>
      <c r="D106" s="180"/>
      <c r="E106" s="92"/>
      <c r="F106" s="152"/>
      <c r="G106" s="152"/>
      <c r="H106" s="152"/>
      <c r="I106" s="152"/>
      <c r="J106" s="133"/>
      <c r="K106" s="124"/>
      <c r="L106" s="78" t="s">
        <v>47</v>
      </c>
    </row>
    <row r="107" spans="1:12" ht="43.5" x14ac:dyDescent="0.4">
      <c r="A107" s="123"/>
      <c r="B107" s="178"/>
      <c r="C107" s="179"/>
      <c r="D107" s="180"/>
      <c r="E107" s="92"/>
      <c r="F107" s="152"/>
      <c r="G107" s="152"/>
      <c r="H107" s="152"/>
      <c r="I107" s="152"/>
      <c r="J107" s="133"/>
      <c r="K107" s="124"/>
      <c r="L107" s="78" t="s">
        <v>47</v>
      </c>
    </row>
    <row r="108" spans="1:12" ht="43.5" x14ac:dyDescent="0.4">
      <c r="A108" s="123"/>
      <c r="B108" s="178"/>
      <c r="C108" s="179"/>
      <c r="D108" s="180"/>
      <c r="E108" s="92"/>
      <c r="F108" s="152"/>
      <c r="G108" s="152"/>
      <c r="H108" s="152"/>
      <c r="I108" s="152"/>
      <c r="J108" s="133"/>
      <c r="K108" s="124"/>
      <c r="L108" s="78" t="s">
        <v>47</v>
      </c>
    </row>
    <row r="109" spans="1:12" ht="43.5" x14ac:dyDescent="0.4">
      <c r="A109" s="123"/>
      <c r="B109" s="178"/>
      <c r="C109" s="179"/>
      <c r="D109" s="180"/>
      <c r="E109" s="92"/>
      <c r="F109" s="152"/>
      <c r="G109" s="152"/>
      <c r="H109" s="152"/>
      <c r="I109" s="152"/>
      <c r="J109" s="133"/>
      <c r="K109" s="124"/>
      <c r="L109" s="78" t="s">
        <v>47</v>
      </c>
    </row>
    <row r="110" spans="1:12" ht="43.5" x14ac:dyDescent="0.4">
      <c r="A110" s="123"/>
      <c r="B110" s="247"/>
      <c r="C110" s="248"/>
      <c r="D110" s="249"/>
      <c r="E110" s="92"/>
      <c r="F110" s="152"/>
      <c r="G110" s="152"/>
      <c r="H110" s="152"/>
      <c r="I110" s="152"/>
      <c r="J110" s="133"/>
      <c r="K110" s="124"/>
      <c r="L110" s="78" t="s">
        <v>47</v>
      </c>
    </row>
    <row r="111" spans="1:12" ht="43.5" x14ac:dyDescent="0.4">
      <c r="A111" s="123"/>
      <c r="B111" s="153" t="str">
        <f>IF(B99="","","Subtotale:")</f>
        <v/>
      </c>
      <c r="C111" s="153"/>
      <c r="D111" s="153"/>
      <c r="E111" s="154"/>
      <c r="F111" s="154"/>
      <c r="G111" s="154"/>
      <c r="H111" s="154"/>
      <c r="I111" s="154"/>
      <c r="J111" s="145" t="str">
        <f>IF(SUM(J101:J110)&gt;0,SUM(J101:J110),"")</f>
        <v/>
      </c>
      <c r="K111" s="124"/>
      <c r="L111" s="78" t="s">
        <v>47</v>
      </c>
    </row>
    <row r="112" spans="1:12" ht="121.5" x14ac:dyDescent="0.4">
      <c r="A112" s="123"/>
      <c r="B112" s="157" t="str">
        <f>IF(B99="","","Motivazione compenso richiesto:")</f>
        <v/>
      </c>
      <c r="C112" s="157"/>
      <c r="D112" s="162" t="s">
        <v>76</v>
      </c>
      <c r="E112" s="162"/>
      <c r="F112" s="162"/>
      <c r="G112" s="162"/>
      <c r="H112" s="162"/>
      <c r="I112" s="162"/>
      <c r="J112" s="162"/>
      <c r="K112" s="124"/>
      <c r="L112" s="69" t="s">
        <v>47</v>
      </c>
    </row>
    <row r="113" spans="1:12" ht="43.5" customHeight="1" x14ac:dyDescent="0.4">
      <c r="A113" s="123"/>
      <c r="B113" s="156" t="str">
        <f>IF(MODULO!D19="SI","Eventuale aumento ex art. 52 T.U. NR. 115/2002 (da 1% a 100 %)","")</f>
        <v/>
      </c>
      <c r="C113" s="156"/>
      <c r="D113" s="156"/>
      <c r="E113" s="156"/>
      <c r="F113" s="156"/>
      <c r="G113" s="156"/>
      <c r="H113" s="156"/>
      <c r="I113" s="156"/>
      <c r="J113" s="156"/>
      <c r="K113" s="124"/>
      <c r="L113" s="78" t="s">
        <v>47</v>
      </c>
    </row>
    <row r="114" spans="1:12" ht="121.5" customHeight="1" x14ac:dyDescent="0.4">
      <c r="A114" s="123"/>
      <c r="B114" s="146" t="str">
        <f>IF(B113="","","Motivazione:")</f>
        <v/>
      </c>
      <c r="C114" s="126"/>
      <c r="D114" s="163" t="str">
        <f>IF(B113="","","Importo su cui applicare l'art. 52:")</f>
        <v/>
      </c>
      <c r="E114" s="163"/>
      <c r="F114" s="164"/>
      <c r="G114" s="164"/>
      <c r="H114" s="147" t="str">
        <f>IF(B113="","","Percentuale richiesta 
(ad es. 50%):")</f>
        <v/>
      </c>
      <c r="I114" s="127"/>
      <c r="J114" s="145">
        <f>IF(TYPE(I114*F114)=16,"",(I114*F114))</f>
        <v>0</v>
      </c>
      <c r="K114" s="124"/>
      <c r="L114" s="69" t="s">
        <v>47</v>
      </c>
    </row>
    <row r="115" spans="1:12" ht="69" customHeight="1" x14ac:dyDescent="0.4">
      <c r="A115" s="123"/>
      <c r="B115" s="163" t="str">
        <f>IF(B113="","","ad es per calcolo di oneri di sanatoria particolarmente onerosi, o particolare difficoltà negli accertamenti o per massa immobiliare composta da molti beni ubicati nel medesimo contesto)")</f>
        <v/>
      </c>
      <c r="C115" s="163"/>
      <c r="D115" s="163"/>
      <c r="E115" s="163"/>
      <c r="F115" s="163"/>
      <c r="G115" s="163"/>
      <c r="H115" s="163"/>
      <c r="I115" s="163"/>
      <c r="J115" s="163"/>
      <c r="K115" s="124"/>
      <c r="L115" s="78" t="s">
        <v>47</v>
      </c>
    </row>
    <row r="116" spans="1:12" ht="30.75" x14ac:dyDescent="0.4">
      <c r="A116" s="123"/>
      <c r="B116" s="128"/>
      <c r="C116" s="129"/>
      <c r="D116" s="129"/>
      <c r="E116" s="130"/>
      <c r="F116" s="131"/>
      <c r="G116" s="128"/>
      <c r="H116" s="128"/>
      <c r="I116" s="128"/>
      <c r="J116" s="132"/>
      <c r="K116" s="124"/>
      <c r="L116" s="76" t="s">
        <v>47</v>
      </c>
    </row>
    <row r="117" spans="1:12" ht="30.75" x14ac:dyDescent="0.4">
      <c r="A117" s="123"/>
      <c r="B117" s="128"/>
      <c r="C117" s="129"/>
      <c r="D117" s="129"/>
      <c r="E117" s="130"/>
      <c r="F117" s="131"/>
      <c r="G117" s="128"/>
      <c r="H117" s="128"/>
      <c r="I117" s="128"/>
      <c r="J117" s="132"/>
      <c r="K117" s="124"/>
      <c r="L117" s="76" t="s">
        <v>47</v>
      </c>
    </row>
    <row r="118" spans="1:12" ht="58.5" customHeight="1" x14ac:dyDescent="0.4">
      <c r="A118" s="123"/>
      <c r="B118" s="155" t="str">
        <f>IF(MODULO!D20="SI","EVENTUALE compenso ex art. 12 del D.M. 30.05.2002
- COMMA 2 -","")</f>
        <v/>
      </c>
      <c r="C118" s="155"/>
      <c r="D118" s="155"/>
      <c r="E118" s="156"/>
      <c r="F118" s="156"/>
      <c r="G118" s="156"/>
      <c r="H118" s="156"/>
      <c r="I118" s="156"/>
      <c r="J118" s="156"/>
      <c r="K118" s="124"/>
      <c r="L118" s="77" t="s">
        <v>47</v>
      </c>
    </row>
    <row r="119" spans="1:12" ht="80.25" customHeight="1" x14ac:dyDescent="0.4">
      <c r="A119" s="123"/>
      <c r="B119" s="241" t="str">
        <f>IF(B118="","","Per ciascun lotto di stima (non di vendita) indicare eventuali rilievi approfonditi con produzione di elaborati grafici da parte del perito")</f>
        <v/>
      </c>
      <c r="C119" s="242"/>
      <c r="D119" s="243"/>
      <c r="E119" s="142" t="str">
        <f>IF(B118="","","Identificativo progressivo lotto")</f>
        <v/>
      </c>
      <c r="F119" s="156" t="str">
        <f>IF(B118="","","DESCRIZIONE SOMMARIA ATTIVITÀ SVOLTE")</f>
        <v/>
      </c>
      <c r="G119" s="156"/>
      <c r="H119" s="156"/>
      <c r="I119" s="156"/>
      <c r="J119" s="136" t="str">
        <f>IF(B118="","","Compenso richiesto €")</f>
        <v/>
      </c>
      <c r="K119" s="124"/>
      <c r="L119" s="77" t="s">
        <v>47</v>
      </c>
    </row>
    <row r="120" spans="1:12" ht="43.5" customHeight="1" x14ac:dyDescent="0.4">
      <c r="A120" s="123"/>
      <c r="B120" s="244"/>
      <c r="C120" s="245"/>
      <c r="D120" s="246"/>
      <c r="E120" s="92"/>
      <c r="F120" s="152"/>
      <c r="G120" s="152"/>
      <c r="H120" s="152"/>
      <c r="I120" s="152"/>
      <c r="J120" s="133"/>
      <c r="K120" s="124"/>
      <c r="L120" s="78" t="s">
        <v>47</v>
      </c>
    </row>
    <row r="121" spans="1:12" ht="43.5" x14ac:dyDescent="0.4">
      <c r="A121" s="123"/>
      <c r="B121" s="178" t="str">
        <f>IF(B118="","","(mancanza di planimetrie catastali, mancanza di elaborati grafici per porzioni abusive)
Da 145,12 € A 970,42 €")</f>
        <v/>
      </c>
      <c r="C121" s="179"/>
      <c r="D121" s="180"/>
      <c r="E121" s="92"/>
      <c r="F121" s="152"/>
      <c r="G121" s="152"/>
      <c r="H121" s="152"/>
      <c r="I121" s="152"/>
      <c r="J121" s="133"/>
      <c r="K121" s="124"/>
      <c r="L121" s="78" t="s">
        <v>47</v>
      </c>
    </row>
    <row r="122" spans="1:12" ht="43.5" x14ac:dyDescent="0.4">
      <c r="A122" s="123"/>
      <c r="B122" s="178"/>
      <c r="C122" s="179"/>
      <c r="D122" s="180"/>
      <c r="E122" s="92"/>
      <c r="F122" s="152"/>
      <c r="G122" s="152"/>
      <c r="H122" s="152"/>
      <c r="I122" s="152"/>
      <c r="J122" s="133"/>
      <c r="K122" s="124"/>
      <c r="L122" s="78" t="s">
        <v>47</v>
      </c>
    </row>
    <row r="123" spans="1:12" ht="43.5" x14ac:dyDescent="0.4">
      <c r="A123" s="123"/>
      <c r="B123" s="178"/>
      <c r="C123" s="179"/>
      <c r="D123" s="180"/>
      <c r="E123" s="92"/>
      <c r="F123" s="152"/>
      <c r="G123" s="152"/>
      <c r="H123" s="152"/>
      <c r="I123" s="152"/>
      <c r="J123" s="133"/>
      <c r="K123" s="124"/>
      <c r="L123" s="78" t="s">
        <v>47</v>
      </c>
    </row>
    <row r="124" spans="1:12" ht="43.5" x14ac:dyDescent="0.4">
      <c r="A124" s="123"/>
      <c r="B124" s="178"/>
      <c r="C124" s="179"/>
      <c r="D124" s="180"/>
      <c r="E124" s="92"/>
      <c r="F124" s="152"/>
      <c r="G124" s="152"/>
      <c r="H124" s="152"/>
      <c r="I124" s="152"/>
      <c r="J124" s="133"/>
      <c r="K124" s="124"/>
      <c r="L124" s="78" t="s">
        <v>47</v>
      </c>
    </row>
    <row r="125" spans="1:12" ht="43.5" x14ac:dyDescent="0.4">
      <c r="A125" s="123"/>
      <c r="B125" s="178"/>
      <c r="C125" s="179"/>
      <c r="D125" s="180"/>
      <c r="E125" s="92"/>
      <c r="F125" s="152"/>
      <c r="G125" s="152"/>
      <c r="H125" s="152"/>
      <c r="I125" s="152"/>
      <c r="J125" s="133"/>
      <c r="K125" s="124"/>
      <c r="L125" s="78" t="s">
        <v>47</v>
      </c>
    </row>
    <row r="126" spans="1:12" ht="43.5" x14ac:dyDescent="0.4">
      <c r="A126" s="123"/>
      <c r="B126" s="178"/>
      <c r="C126" s="179"/>
      <c r="D126" s="180"/>
      <c r="E126" s="92"/>
      <c r="F126" s="152"/>
      <c r="G126" s="152"/>
      <c r="H126" s="152"/>
      <c r="I126" s="152"/>
      <c r="J126" s="133"/>
      <c r="K126" s="124"/>
      <c r="L126" s="78" t="s">
        <v>47</v>
      </c>
    </row>
    <row r="127" spans="1:12" ht="43.5" x14ac:dyDescent="0.4">
      <c r="A127" s="123"/>
      <c r="B127" s="178"/>
      <c r="C127" s="179"/>
      <c r="D127" s="180"/>
      <c r="E127" s="92"/>
      <c r="F127" s="152"/>
      <c r="G127" s="152"/>
      <c r="H127" s="152"/>
      <c r="I127" s="152"/>
      <c r="J127" s="133"/>
      <c r="K127" s="124"/>
      <c r="L127" s="78" t="s">
        <v>47</v>
      </c>
    </row>
    <row r="128" spans="1:12" ht="43.5" x14ac:dyDescent="0.4">
      <c r="A128" s="123"/>
      <c r="B128" s="178"/>
      <c r="C128" s="179"/>
      <c r="D128" s="180"/>
      <c r="E128" s="92"/>
      <c r="F128" s="152"/>
      <c r="G128" s="152"/>
      <c r="H128" s="152"/>
      <c r="I128" s="152"/>
      <c r="J128" s="133"/>
      <c r="K128" s="124"/>
      <c r="L128" s="78" t="s">
        <v>47</v>
      </c>
    </row>
    <row r="129" spans="1:12" ht="43.5" x14ac:dyDescent="0.4">
      <c r="A129" s="123"/>
      <c r="B129" s="247"/>
      <c r="C129" s="248"/>
      <c r="D129" s="249"/>
      <c r="E129" s="92"/>
      <c r="F129" s="152"/>
      <c r="G129" s="152"/>
      <c r="H129" s="152"/>
      <c r="I129" s="152"/>
      <c r="J129" s="133"/>
      <c r="K129" s="124"/>
      <c r="L129" s="78" t="s">
        <v>47</v>
      </c>
    </row>
    <row r="130" spans="1:12" ht="43.5" x14ac:dyDescent="0.4">
      <c r="A130" s="123"/>
      <c r="B130" s="153" t="str">
        <f>IF(B118="","","Subtotale:")</f>
        <v/>
      </c>
      <c r="C130" s="153"/>
      <c r="D130" s="153"/>
      <c r="E130" s="154"/>
      <c r="F130" s="154"/>
      <c r="G130" s="154"/>
      <c r="H130" s="154"/>
      <c r="I130" s="154"/>
      <c r="J130" s="145" t="str">
        <f>IF(SUM(J120:J129)&gt;0,SUM(J120:J129),"")</f>
        <v/>
      </c>
      <c r="K130" s="124"/>
      <c r="L130" s="78" t="s">
        <v>47</v>
      </c>
    </row>
    <row r="131" spans="1:12" ht="84" customHeight="1" x14ac:dyDescent="0.4">
      <c r="A131" s="123"/>
      <c r="B131" s="161" t="str">
        <f>IF(B118="","","Si ricorda che rilievi topografici e di particolare entità vanno comunque preventivamente autorizzati dal giudice e in casi di particolare entità/complessità si potrebbe applicare l'art. 52 TU (aumento da 1% a 100%)")</f>
        <v/>
      </c>
      <c r="C131" s="161"/>
      <c r="D131" s="161"/>
      <c r="E131" s="161"/>
      <c r="F131" s="161"/>
      <c r="G131" s="161"/>
      <c r="H131" s="161"/>
      <c r="I131" s="161"/>
      <c r="J131" s="161"/>
      <c r="K131" s="124"/>
      <c r="L131" s="77" t="s">
        <v>47</v>
      </c>
    </row>
    <row r="132" spans="1:12" ht="30.75" x14ac:dyDescent="0.4">
      <c r="A132" s="123"/>
      <c r="B132" s="163" t="str">
        <f>IF(MODULO!D21="SI","Eventuale attività integrative successive al deposito della relazione peritale (es. chiarimenti ex art. 591 ter c.p.c.)","")</f>
        <v/>
      </c>
      <c r="C132" s="163"/>
      <c r="D132" s="163"/>
      <c r="E132" s="157" t="str">
        <f>IF(B132="","","Descrizione:")</f>
        <v/>
      </c>
      <c r="F132" s="162"/>
      <c r="G132" s="162"/>
      <c r="H132" s="162"/>
      <c r="I132" s="157" t="str">
        <f>IF(E132="","","compenso richiesto €")</f>
        <v/>
      </c>
      <c r="J132" s="165"/>
      <c r="K132" s="124"/>
      <c r="L132" s="76" t="s">
        <v>47</v>
      </c>
    </row>
    <row r="133" spans="1:12" ht="121.5" x14ac:dyDescent="0.4">
      <c r="A133" s="123"/>
      <c r="B133" s="163"/>
      <c r="C133" s="163"/>
      <c r="D133" s="163"/>
      <c r="E133" s="157"/>
      <c r="F133" s="162"/>
      <c r="G133" s="162"/>
      <c r="H133" s="162"/>
      <c r="I133" s="157"/>
      <c r="J133" s="165"/>
      <c r="K133" s="124"/>
      <c r="L133" s="69" t="s">
        <v>47</v>
      </c>
    </row>
    <row r="134" spans="1:12" ht="30.75" x14ac:dyDescent="0.4">
      <c r="A134" s="123"/>
      <c r="B134" s="163"/>
      <c r="C134" s="163"/>
      <c r="D134" s="163"/>
      <c r="E134" s="157"/>
      <c r="F134" s="162"/>
      <c r="G134" s="162"/>
      <c r="H134" s="162"/>
      <c r="I134" s="157"/>
      <c r="J134" s="165"/>
      <c r="K134" s="124"/>
      <c r="L134" s="76" t="s">
        <v>47</v>
      </c>
    </row>
    <row r="135" spans="1:12" ht="30.75" x14ac:dyDescent="0.4">
      <c r="A135" s="123"/>
      <c r="B135" s="128"/>
      <c r="C135" s="129"/>
      <c r="D135" s="129"/>
      <c r="E135" s="130"/>
      <c r="F135" s="131"/>
      <c r="G135" s="128"/>
      <c r="H135" s="128"/>
      <c r="I135" s="128"/>
      <c r="J135" s="132"/>
      <c r="K135" s="124"/>
      <c r="L135" s="76" t="s">
        <v>47</v>
      </c>
    </row>
    <row r="136" spans="1:12" ht="30.75" x14ac:dyDescent="0.4">
      <c r="A136" s="123"/>
      <c r="B136" s="128"/>
      <c r="C136" s="129"/>
      <c r="D136" s="129"/>
      <c r="E136" s="130"/>
      <c r="F136" s="131"/>
      <c r="G136" s="128"/>
      <c r="H136" s="128"/>
      <c r="I136" s="128"/>
      <c r="J136" s="132"/>
      <c r="K136" s="124"/>
      <c r="L136" s="76" t="s">
        <v>47</v>
      </c>
    </row>
    <row r="137" spans="1:12" ht="43.5" customHeight="1" x14ac:dyDescent="0.4">
      <c r="A137" s="123"/>
      <c r="B137" s="155" t="str">
        <f>IF(MODULO!D22="SI","Compenso ex art. 11 del D.M. 30.05.2002","")</f>
        <v/>
      </c>
      <c r="C137" s="155"/>
      <c r="D137" s="155"/>
      <c r="E137" s="156"/>
      <c r="F137" s="156"/>
      <c r="G137" s="156"/>
      <c r="H137" s="156"/>
      <c r="I137" s="156"/>
      <c r="J137" s="156"/>
      <c r="K137" s="124"/>
      <c r="L137" s="78" t="s">
        <v>47</v>
      </c>
    </row>
    <row r="138" spans="1:12" ht="111" customHeight="1" x14ac:dyDescent="0.4">
      <c r="A138" s="123"/>
      <c r="B138" s="158" t="str">
        <f>IF(B137="","","Per ciascun lotto di stima (non di vendita) indicare le attività svolte (ad es. computi metrici estimativi da allegare alla relazione per demolizioni, rimessa in pristino di fabbricati, costi di finitura per immobili a rustico…).")</f>
        <v/>
      </c>
      <c r="C138" s="159"/>
      <c r="D138" s="160"/>
      <c r="E138" s="142" t="str">
        <f>IF(B137="","","Identificativo progressivo lotto")</f>
        <v/>
      </c>
      <c r="F138" s="156" t="str">
        <f>IF(B137="","","Stima onere")</f>
        <v/>
      </c>
      <c r="G138" s="156"/>
      <c r="H138" s="137" t="str">
        <f>IF(B137="","","Minimo tariffa €")</f>
        <v/>
      </c>
      <c r="I138" s="137" t="str">
        <f>IF(B137="","","Massimo tariffa €")</f>
        <v/>
      </c>
      <c r="J138" s="136" t="str">
        <f>IF(B137="","","Compenso richiesto €")</f>
        <v/>
      </c>
      <c r="K138" s="124"/>
      <c r="L138" s="77" t="s">
        <v>47</v>
      </c>
    </row>
    <row r="139" spans="1:12" ht="43.5" customHeight="1" x14ac:dyDescent="0.4">
      <c r="A139" s="123"/>
      <c r="B139" s="177" t="str">
        <f>IF(B137="","","- applicazione dell'aliquota minima in caso di utilizzo di dati  parametrici (valore al mc o al mq ) 
- applicazione dell'aliquota massima per computo metrico estimativo analitico fino a € 25.822,84")</f>
        <v/>
      </c>
      <c r="C139" s="175"/>
      <c r="D139" s="176"/>
      <c r="E139" s="92"/>
      <c r="F139" s="186"/>
      <c r="G139" s="186"/>
      <c r="H139" s="148" t="str">
        <f>IF(F139="","",Art.11!G14)</f>
        <v/>
      </c>
      <c r="I139" s="148" t="str">
        <f>IF(F139="","",Art.11!H14)</f>
        <v/>
      </c>
      <c r="J139" s="119"/>
      <c r="K139" s="124"/>
      <c r="L139" s="78" t="s">
        <v>47</v>
      </c>
    </row>
    <row r="140" spans="1:12" ht="43.5" x14ac:dyDescent="0.4">
      <c r="A140" s="123"/>
      <c r="B140" s="177"/>
      <c r="C140" s="175"/>
      <c r="D140" s="176"/>
      <c r="E140" s="92"/>
      <c r="F140" s="186"/>
      <c r="G140" s="186"/>
      <c r="H140" s="148" t="str">
        <f>IF(F140="","",Art.11!G25)</f>
        <v/>
      </c>
      <c r="I140" s="148" t="str">
        <f>IF(F140="","",Art.11!H25)</f>
        <v/>
      </c>
      <c r="J140" s="119"/>
      <c r="K140" s="124"/>
      <c r="L140" s="78" t="s">
        <v>47</v>
      </c>
    </row>
    <row r="141" spans="1:12" ht="43.5" x14ac:dyDescent="0.4">
      <c r="A141" s="123"/>
      <c r="B141" s="177"/>
      <c r="C141" s="175"/>
      <c r="D141" s="176"/>
      <c r="E141" s="92"/>
      <c r="F141" s="186"/>
      <c r="G141" s="186"/>
      <c r="H141" s="148" t="str">
        <f>IF(F141="","",Art.11!G36)</f>
        <v/>
      </c>
      <c r="I141" s="148" t="str">
        <f>IF(F141="","",Art.11!H36)</f>
        <v/>
      </c>
      <c r="J141" s="119"/>
      <c r="K141" s="124"/>
      <c r="L141" s="78" t="s">
        <v>47</v>
      </c>
    </row>
    <row r="142" spans="1:12" ht="43.5" x14ac:dyDescent="0.4">
      <c r="A142" s="123"/>
      <c r="B142" s="177"/>
      <c r="C142" s="175"/>
      <c r="D142" s="176"/>
      <c r="E142" s="92"/>
      <c r="F142" s="186"/>
      <c r="G142" s="186"/>
      <c r="H142" s="148" t="str">
        <f>IF(F142="","",Art.11!G47)</f>
        <v/>
      </c>
      <c r="I142" s="148" t="str">
        <f>IF(F142="","",Art.11!H47)</f>
        <v/>
      </c>
      <c r="J142" s="119"/>
      <c r="K142" s="124"/>
      <c r="L142" s="78" t="s">
        <v>47</v>
      </c>
    </row>
    <row r="143" spans="1:12" ht="43.5" x14ac:dyDescent="0.4">
      <c r="A143" s="123"/>
      <c r="B143" s="178" t="str">
        <f>IF(B139="","","- applicazione dell'aliquota media per computo metrico estimativo analitico fino a € 25.822,84 
- applicazione dell'aliquota media per computo metrico analitico da € 25.822,85 a € 103.291,38 ")</f>
        <v/>
      </c>
      <c r="C143" s="179"/>
      <c r="D143" s="180"/>
      <c r="E143" s="92"/>
      <c r="F143" s="186"/>
      <c r="G143" s="186"/>
      <c r="H143" s="148" t="str">
        <f>IF(F143="","",Art.11!G58)</f>
        <v/>
      </c>
      <c r="I143" s="148" t="str">
        <f>IF(F143="","",Art.11!H58)</f>
        <v/>
      </c>
      <c r="J143" s="119"/>
      <c r="K143" s="124"/>
      <c r="L143" s="78" t="s">
        <v>47</v>
      </c>
    </row>
    <row r="144" spans="1:12" ht="43.5" x14ac:dyDescent="0.4">
      <c r="A144" s="123"/>
      <c r="B144" s="178"/>
      <c r="C144" s="179"/>
      <c r="D144" s="180"/>
      <c r="E144" s="92"/>
      <c r="F144" s="186"/>
      <c r="G144" s="186"/>
      <c r="H144" s="148" t="str">
        <f>IF(F144="","",Art.11!G69)</f>
        <v/>
      </c>
      <c r="I144" s="148" t="str">
        <f>IF(F144="","",Art.11!H69)</f>
        <v/>
      </c>
      <c r="J144" s="119"/>
      <c r="K144" s="124"/>
      <c r="L144" s="78" t="s">
        <v>47</v>
      </c>
    </row>
    <row r="145" spans="1:12" ht="43.5" x14ac:dyDescent="0.4">
      <c r="A145" s="123"/>
      <c r="B145" s="178" t="str">
        <f>IF(B137="","","- applicazione dell'aliquota minima per computo metrico estimativo analitico oltre € 103.291,38")</f>
        <v/>
      </c>
      <c r="C145" s="179"/>
      <c r="D145" s="180"/>
      <c r="E145" s="92"/>
      <c r="F145" s="186"/>
      <c r="G145" s="186"/>
      <c r="H145" s="148" t="str">
        <f>IF(F145="","",Art.11!G80)</f>
        <v/>
      </c>
      <c r="I145" s="148" t="str">
        <f>IF(F145="","",Art.11!H80)</f>
        <v/>
      </c>
      <c r="J145" s="119"/>
      <c r="K145" s="124"/>
      <c r="L145" s="78" t="s">
        <v>47</v>
      </c>
    </row>
    <row r="146" spans="1:12" ht="43.5" x14ac:dyDescent="0.4">
      <c r="A146" s="123"/>
      <c r="B146" s="178"/>
      <c r="C146" s="179"/>
      <c r="D146" s="180"/>
      <c r="E146" s="92"/>
      <c r="F146" s="186"/>
      <c r="G146" s="186"/>
      <c r="H146" s="148" t="str">
        <f>IF(F146="","",Art.11!G91)</f>
        <v/>
      </c>
      <c r="I146" s="148" t="str">
        <f>IF(F146="","",Art.11!H91)</f>
        <v/>
      </c>
      <c r="J146" s="119"/>
      <c r="K146" s="124"/>
      <c r="L146" s="78" t="s">
        <v>47</v>
      </c>
    </row>
    <row r="147" spans="1:12" ht="43.5" x14ac:dyDescent="0.4">
      <c r="A147" s="123"/>
      <c r="B147" s="187" t="str">
        <f>IF($B$143&gt;"","_","")</f>
        <v/>
      </c>
      <c r="C147" s="188"/>
      <c r="D147" s="189"/>
      <c r="E147" s="92"/>
      <c r="F147" s="186"/>
      <c r="G147" s="186"/>
      <c r="H147" s="148" t="str">
        <f>IF(F147="","",Art.11!G102)</f>
        <v/>
      </c>
      <c r="I147" s="148" t="str">
        <f>IF(F147="","",Art.11!H102)</f>
        <v/>
      </c>
      <c r="J147" s="119"/>
      <c r="K147" s="124"/>
      <c r="L147" s="78" t="s">
        <v>47</v>
      </c>
    </row>
    <row r="148" spans="1:12" ht="43.5" x14ac:dyDescent="0.4">
      <c r="A148" s="123"/>
      <c r="B148" s="190"/>
      <c r="C148" s="191"/>
      <c r="D148" s="192"/>
      <c r="E148" s="92"/>
      <c r="F148" s="186"/>
      <c r="G148" s="186"/>
      <c r="H148" s="148" t="str">
        <f>IF(F148="","",Art.11!G113)</f>
        <v/>
      </c>
      <c r="I148" s="148" t="str">
        <f>IF(F148="","",Art.11!H113)</f>
        <v/>
      </c>
      <c r="J148" s="119"/>
      <c r="K148" s="124"/>
      <c r="L148" s="78" t="s">
        <v>47</v>
      </c>
    </row>
    <row r="149" spans="1:12" ht="43.5" x14ac:dyDescent="0.4">
      <c r="A149" s="123"/>
      <c r="B149" s="153" t="str">
        <f>IF(B137="","","Subtotale:")</f>
        <v/>
      </c>
      <c r="C149" s="153"/>
      <c r="D149" s="153"/>
      <c r="E149" s="154"/>
      <c r="F149" s="193" t="str">
        <f>IF(SUM(F139:F148)&gt;0,SUM(F139:F148),"")</f>
        <v/>
      </c>
      <c r="G149" s="193"/>
      <c r="H149" s="149" t="str">
        <f>IF(SUM(H139:H148)&gt;0,SUM(H139:H148),"")</f>
        <v/>
      </c>
      <c r="I149" s="149" t="str">
        <f>IF(SUM(I139:I148)&gt;0,SUM(I139:I148),"")</f>
        <v/>
      </c>
      <c r="J149" s="145" t="str">
        <f>IF(SUM(J139:J148)&gt;0,SUM(J139:J148),"")</f>
        <v/>
      </c>
      <c r="K149" s="124"/>
      <c r="L149" s="78" t="s">
        <v>47</v>
      </c>
    </row>
    <row r="150" spans="1:12" ht="30.75" x14ac:dyDescent="0.4">
      <c r="A150" s="123"/>
      <c r="B150" s="128"/>
      <c r="C150" s="129"/>
      <c r="D150" s="129"/>
      <c r="E150" s="130"/>
      <c r="F150" s="131"/>
      <c r="G150" s="128"/>
      <c r="H150" s="128"/>
      <c r="I150" s="128"/>
      <c r="J150" s="132"/>
      <c r="K150" s="124"/>
      <c r="L150" s="76" t="s">
        <v>47</v>
      </c>
    </row>
    <row r="151" spans="1:12" ht="30.75" x14ac:dyDescent="0.4">
      <c r="A151" s="123"/>
      <c r="B151" s="128"/>
      <c r="C151" s="129"/>
      <c r="D151" s="129"/>
      <c r="E151" s="130"/>
      <c r="F151" s="131"/>
      <c r="G151" s="128"/>
      <c r="H151" s="128"/>
      <c r="I151" s="128"/>
      <c r="J151" s="132"/>
      <c r="K151" s="124"/>
      <c r="L151" s="76" t="s">
        <v>47</v>
      </c>
    </row>
    <row r="152" spans="1:12" ht="58.5" customHeight="1" x14ac:dyDescent="0.4">
      <c r="A152" s="123"/>
      <c r="B152" s="155" t="str">
        <f>IF(MODULO!D23="SI","EVENTUALE compenso ex art. 7 del D.M. 30.05.2002
- COMMA 1 -","")</f>
        <v/>
      </c>
      <c r="C152" s="155"/>
      <c r="D152" s="155"/>
      <c r="E152" s="156"/>
      <c r="F152" s="156"/>
      <c r="G152" s="156"/>
      <c r="H152" s="156"/>
      <c r="I152" s="156"/>
      <c r="J152" s="156"/>
      <c r="K152" s="124"/>
      <c r="L152" s="77" t="s">
        <v>47</v>
      </c>
    </row>
    <row r="153" spans="1:12" ht="75" customHeight="1" x14ac:dyDescent="0.4">
      <c r="A153" s="123"/>
      <c r="B153" s="158" t="str">
        <f>IF(B152="","","Per ciascun lotto di stima (non di vendita) indicare eventuali calcoli di diritti diversi: usufrutto, nuda proprietà, diritto di superficie:")</f>
        <v/>
      </c>
      <c r="C153" s="159"/>
      <c r="D153" s="160"/>
      <c r="E153" s="142" t="str">
        <f>IF(B152="","","Identificativo progressivo lotto")</f>
        <v/>
      </c>
      <c r="F153" s="156" t="str">
        <f>IF(B152="","","DESCRIZIONE SOMMARIA ATTIVITÀ SVOLTE")</f>
        <v/>
      </c>
      <c r="G153" s="156"/>
      <c r="H153" s="156"/>
      <c r="I153" s="156"/>
      <c r="J153" s="136" t="str">
        <f>IF(B152="","","Compenso richiesto €")</f>
        <v/>
      </c>
      <c r="K153" s="124"/>
      <c r="L153" s="77" t="s">
        <v>47</v>
      </c>
    </row>
    <row r="154" spans="1:12" ht="43.5" x14ac:dyDescent="0.4">
      <c r="A154" s="123"/>
      <c r="B154" s="177"/>
      <c r="C154" s="175"/>
      <c r="D154" s="176"/>
      <c r="E154" s="92"/>
      <c r="F154" s="185"/>
      <c r="G154" s="185"/>
      <c r="H154" s="185"/>
      <c r="I154" s="185"/>
      <c r="J154" s="119"/>
      <c r="K154" s="124"/>
      <c r="L154" s="78" t="s">
        <v>47</v>
      </c>
    </row>
    <row r="155" spans="1:12" ht="43.5" x14ac:dyDescent="0.4">
      <c r="A155" s="123"/>
      <c r="B155" s="174" t="str">
        <f>IF(B152="","","'- € 145,12 se il diritto viene calcolato con metodo 'fiscale' (tabella Agenzia Entrate con applicazione diretta della percentuale corrispondente all'età dell'usufruttuario)")</f>
        <v/>
      </c>
      <c r="C155" s="175"/>
      <c r="D155" s="176"/>
      <c r="E155" s="92"/>
      <c r="F155" s="185"/>
      <c r="G155" s="185"/>
      <c r="H155" s="185"/>
      <c r="I155" s="185"/>
      <c r="J155" s="119"/>
      <c r="K155" s="124"/>
      <c r="L155" s="78" t="s">
        <v>47</v>
      </c>
    </row>
    <row r="156" spans="1:12" ht="43.5" x14ac:dyDescent="0.4">
      <c r="A156" s="123"/>
      <c r="B156" s="177"/>
      <c r="C156" s="175"/>
      <c r="D156" s="176"/>
      <c r="E156" s="92"/>
      <c r="F156" s="185"/>
      <c r="G156" s="185"/>
      <c r="H156" s="185"/>
      <c r="I156" s="185"/>
      <c r="J156" s="119"/>
      <c r="K156" s="124"/>
      <c r="L156" s="78" t="s">
        <v>47</v>
      </c>
    </row>
    <row r="157" spans="1:12" ht="43.5" x14ac:dyDescent="0.4">
      <c r="A157" s="123"/>
      <c r="B157" s="178" t="str">
        <f>IF(B152="","","'- € 484,95 se il diritto viene calcolato con metodo finanziario (accumulazione dei redditi futuri con ricerca saggio)")</f>
        <v/>
      </c>
      <c r="C157" s="179"/>
      <c r="D157" s="180"/>
      <c r="E157" s="92"/>
      <c r="F157" s="185"/>
      <c r="G157" s="185"/>
      <c r="H157" s="185"/>
      <c r="I157" s="185"/>
      <c r="J157" s="119"/>
      <c r="K157" s="124"/>
      <c r="L157" s="78" t="s">
        <v>47</v>
      </c>
    </row>
    <row r="158" spans="1:12" ht="43.5" x14ac:dyDescent="0.4">
      <c r="A158" s="123"/>
      <c r="B158" s="178"/>
      <c r="C158" s="179"/>
      <c r="D158" s="180"/>
      <c r="E158" s="92"/>
      <c r="F158" s="185"/>
      <c r="G158" s="185"/>
      <c r="H158" s="185"/>
      <c r="I158" s="185"/>
      <c r="J158" s="119"/>
      <c r="K158" s="124"/>
      <c r="L158" s="78" t="s">
        <v>47</v>
      </c>
    </row>
    <row r="159" spans="1:12" ht="43.5" x14ac:dyDescent="0.4">
      <c r="A159" s="123"/>
      <c r="B159" s="181" t="str">
        <f>IF($B$157&gt;"","_","")</f>
        <v/>
      </c>
      <c r="C159" s="182"/>
      <c r="D159" s="183"/>
      <c r="E159" s="92"/>
      <c r="F159" s="185"/>
      <c r="G159" s="185"/>
      <c r="H159" s="185"/>
      <c r="I159" s="185"/>
      <c r="J159" s="119"/>
      <c r="K159" s="124"/>
      <c r="L159" s="78" t="s">
        <v>47</v>
      </c>
    </row>
    <row r="160" spans="1:12" ht="43.5" x14ac:dyDescent="0.4">
      <c r="A160" s="123"/>
      <c r="B160" s="184"/>
      <c r="C160" s="182"/>
      <c r="D160" s="183"/>
      <c r="E160" s="92"/>
      <c r="F160" s="185"/>
      <c r="G160" s="185"/>
      <c r="H160" s="185"/>
      <c r="I160" s="185"/>
      <c r="J160" s="119"/>
      <c r="K160" s="124"/>
      <c r="L160" s="78" t="s">
        <v>47</v>
      </c>
    </row>
    <row r="161" spans="1:12" ht="43.5" x14ac:dyDescent="0.4">
      <c r="A161" s="124"/>
      <c r="B161" s="181" t="str">
        <f>IF($B$157&gt;"","_","")</f>
        <v/>
      </c>
      <c r="C161" s="182"/>
      <c r="D161" s="183"/>
      <c r="E161" s="92"/>
      <c r="F161" s="185"/>
      <c r="G161" s="185"/>
      <c r="H161" s="185"/>
      <c r="I161" s="185"/>
      <c r="J161" s="119"/>
      <c r="K161" s="124"/>
      <c r="L161" s="78" t="s">
        <v>47</v>
      </c>
    </row>
    <row r="162" spans="1:12" ht="43.5" x14ac:dyDescent="0.4">
      <c r="A162" s="124"/>
      <c r="B162" s="184"/>
      <c r="C162" s="182"/>
      <c r="D162" s="183"/>
      <c r="E162" s="92"/>
      <c r="F162" s="185"/>
      <c r="G162" s="185"/>
      <c r="H162" s="185"/>
      <c r="I162" s="185"/>
      <c r="J162" s="119"/>
      <c r="K162" s="124"/>
      <c r="L162" s="78" t="s">
        <v>47</v>
      </c>
    </row>
    <row r="163" spans="1:12" ht="43.5" x14ac:dyDescent="0.4">
      <c r="A163" s="124"/>
      <c r="B163" s="225" t="str">
        <f>IF($B$157&gt;"","_","")</f>
        <v/>
      </c>
      <c r="C163" s="226"/>
      <c r="D163" s="227"/>
      <c r="E163" s="92"/>
      <c r="F163" s="185"/>
      <c r="G163" s="185"/>
      <c r="H163" s="185"/>
      <c r="I163" s="185"/>
      <c r="J163" s="119"/>
      <c r="K163" s="124"/>
      <c r="L163" s="78" t="s">
        <v>47</v>
      </c>
    </row>
    <row r="164" spans="1:12" ht="43.5" x14ac:dyDescent="0.4">
      <c r="A164" s="123"/>
      <c r="B164" s="153" t="str">
        <f>IF(B152="","","Subtotale:")</f>
        <v/>
      </c>
      <c r="C164" s="153"/>
      <c r="D164" s="153"/>
      <c r="E164" s="154"/>
      <c r="F164" s="154"/>
      <c r="G164" s="154"/>
      <c r="H164" s="154"/>
      <c r="I164" s="154"/>
      <c r="J164" s="145" t="str">
        <f>IF(SUM(J154:J163)&gt;0,SUM(J154:J163),"")</f>
        <v/>
      </c>
      <c r="K164" s="124"/>
      <c r="L164" s="78" t="s">
        <v>47</v>
      </c>
    </row>
    <row r="165" spans="1:12" ht="30.75" x14ac:dyDescent="0.4">
      <c r="A165" s="123"/>
      <c r="B165" s="128"/>
      <c r="C165" s="129"/>
      <c r="D165" s="129"/>
      <c r="E165" s="130"/>
      <c r="F165" s="131"/>
      <c r="G165" s="128"/>
      <c r="H165" s="128"/>
      <c r="I165" s="128"/>
      <c r="J165" s="132"/>
      <c r="K165" s="124"/>
      <c r="L165" s="76" t="s">
        <v>47</v>
      </c>
    </row>
    <row r="166" spans="1:12" ht="30.75" x14ac:dyDescent="0.4">
      <c r="A166" s="123"/>
      <c r="B166" s="128"/>
      <c r="C166" s="129"/>
      <c r="D166" s="129"/>
      <c r="E166" s="130"/>
      <c r="F166" s="131"/>
      <c r="G166" s="128"/>
      <c r="H166" s="128"/>
      <c r="I166" s="128"/>
      <c r="J166" s="132"/>
      <c r="K166" s="124"/>
      <c r="L166" s="76" t="s">
        <v>47</v>
      </c>
    </row>
    <row r="167" spans="1:12" ht="43.5" customHeight="1" x14ac:dyDescent="0.4">
      <c r="A167" s="123"/>
      <c r="B167" s="155" t="str">
        <f>IF(MODULO!D24="SI","EVENTUALE compenso ex art. 16 del D.M. 30.05.2002","")</f>
        <v/>
      </c>
      <c r="C167" s="155"/>
      <c r="D167" s="155"/>
      <c r="E167" s="156"/>
      <c r="F167" s="156"/>
      <c r="G167" s="156"/>
      <c r="H167" s="156"/>
      <c r="I167" s="156"/>
      <c r="J167" s="156"/>
      <c r="K167" s="124"/>
      <c r="L167" s="78" t="s">
        <v>47</v>
      </c>
    </row>
    <row r="168" spans="1:12" ht="73.5" customHeight="1" x14ac:dyDescent="0.4">
      <c r="A168" s="123"/>
      <c r="B168" s="241" t="str">
        <f>IF(B167="","","Nel caso venga richiesto al perito di stabilire la congruità del canone di locazione di fabbricati o di terreni agricoli, se la risposta non si basa su un giudizio di stima in forma")</f>
        <v/>
      </c>
      <c r="C168" s="242"/>
      <c r="D168" s="243"/>
      <c r="E168" s="142" t="str">
        <f>IF(B167="","","Identificativo progressivo lotto")</f>
        <v/>
      </c>
      <c r="F168" s="156" t="str">
        <f>IF(B167="","","DESCRIZIONE SOMMARIA ATTIVITÀ SVOLTE")</f>
        <v/>
      </c>
      <c r="G168" s="156"/>
      <c r="H168" s="156"/>
      <c r="I168" s="156"/>
      <c r="J168" s="136" t="str">
        <f>IF(B167="","","Compenso richiesto €")</f>
        <v/>
      </c>
      <c r="K168" s="124"/>
      <c r="L168" s="77" t="s">
        <v>47</v>
      </c>
    </row>
    <row r="169" spans="1:12" ht="43.5" customHeight="1" x14ac:dyDescent="0.4">
      <c r="A169" s="123"/>
      <c r="B169" s="244"/>
      <c r="C169" s="245"/>
      <c r="D169" s="246"/>
      <c r="E169" s="92"/>
      <c r="F169" s="152"/>
      <c r="G169" s="152"/>
      <c r="H169" s="152"/>
      <c r="I169" s="152"/>
      <c r="J169" s="119"/>
      <c r="K169" s="124"/>
      <c r="L169" s="78" t="s">
        <v>47</v>
      </c>
    </row>
    <row r="170" spans="1:12" ht="43.5" x14ac:dyDescent="0.4">
      <c r="A170" s="123"/>
      <c r="B170" s="178" t="str">
        <f>IF(B167="","","di expertise,  ma sulla documentata ricerca di dati e parametri necessari per la comparazione e le valutazioni del caso, 150 €/lotto")</f>
        <v/>
      </c>
      <c r="C170" s="179"/>
      <c r="D170" s="180"/>
      <c r="E170" s="92"/>
      <c r="F170" s="152"/>
      <c r="G170" s="152"/>
      <c r="H170" s="152"/>
      <c r="I170" s="152"/>
      <c r="J170" s="119"/>
      <c r="K170" s="124"/>
      <c r="L170" s="78" t="s">
        <v>47</v>
      </c>
    </row>
    <row r="171" spans="1:12" ht="43.5" x14ac:dyDescent="0.4">
      <c r="A171" s="123"/>
      <c r="B171" s="178"/>
      <c r="C171" s="179"/>
      <c r="D171" s="180"/>
      <c r="E171" s="92"/>
      <c r="F171" s="152"/>
      <c r="G171" s="152"/>
      <c r="H171" s="152"/>
      <c r="I171" s="152"/>
      <c r="J171" s="119"/>
      <c r="K171" s="124"/>
      <c r="L171" s="78" t="s">
        <v>47</v>
      </c>
    </row>
    <row r="172" spans="1:12" ht="43.5" x14ac:dyDescent="0.4">
      <c r="A172" s="123"/>
      <c r="B172" s="250" t="str">
        <f>IF(B170&gt;"","_","")</f>
        <v/>
      </c>
      <c r="C172" s="251"/>
      <c r="D172" s="252"/>
      <c r="E172" s="92"/>
      <c r="F172" s="152"/>
      <c r="G172" s="152"/>
      <c r="H172" s="152"/>
      <c r="I172" s="152"/>
      <c r="J172" s="119"/>
      <c r="K172" s="124"/>
      <c r="L172" s="78" t="s">
        <v>47</v>
      </c>
    </row>
    <row r="173" spans="1:12" ht="43.5" x14ac:dyDescent="0.4">
      <c r="A173" s="123"/>
      <c r="B173" s="250"/>
      <c r="C173" s="251"/>
      <c r="D173" s="252"/>
      <c r="E173" s="92"/>
      <c r="F173" s="152"/>
      <c r="G173" s="152"/>
      <c r="H173" s="152"/>
      <c r="I173" s="152"/>
      <c r="J173" s="119"/>
      <c r="K173" s="124"/>
      <c r="L173" s="78" t="s">
        <v>47</v>
      </c>
    </row>
    <row r="174" spans="1:12" ht="43.5" x14ac:dyDescent="0.4">
      <c r="A174" s="123"/>
      <c r="B174" s="250"/>
      <c r="C174" s="251"/>
      <c r="D174" s="252"/>
      <c r="E174" s="92"/>
      <c r="F174" s="152"/>
      <c r="G174" s="152"/>
      <c r="H174" s="152"/>
      <c r="I174" s="152"/>
      <c r="J174" s="119"/>
      <c r="K174" s="124"/>
      <c r="L174" s="78" t="s">
        <v>47</v>
      </c>
    </row>
    <row r="175" spans="1:12" ht="43.5" x14ac:dyDescent="0.4">
      <c r="A175" s="123"/>
      <c r="B175" s="250"/>
      <c r="C175" s="251"/>
      <c r="D175" s="252"/>
      <c r="E175" s="92"/>
      <c r="F175" s="152"/>
      <c r="G175" s="152"/>
      <c r="H175" s="152"/>
      <c r="I175" s="152"/>
      <c r="J175" s="119"/>
      <c r="K175" s="124"/>
      <c r="L175" s="78" t="s">
        <v>47</v>
      </c>
    </row>
    <row r="176" spans="1:12" ht="43.5" x14ac:dyDescent="0.4">
      <c r="A176" s="123"/>
      <c r="B176" s="250"/>
      <c r="C176" s="251"/>
      <c r="D176" s="252"/>
      <c r="E176" s="92"/>
      <c r="F176" s="152"/>
      <c r="G176" s="152"/>
      <c r="H176" s="152"/>
      <c r="I176" s="152"/>
      <c r="J176" s="119"/>
      <c r="K176" s="124"/>
      <c r="L176" s="78" t="s">
        <v>47</v>
      </c>
    </row>
    <row r="177" spans="1:12" ht="43.5" x14ac:dyDescent="0.4">
      <c r="A177" s="123"/>
      <c r="B177" s="250"/>
      <c r="C177" s="251"/>
      <c r="D177" s="252"/>
      <c r="E177" s="92"/>
      <c r="F177" s="152"/>
      <c r="G177" s="152"/>
      <c r="H177" s="152"/>
      <c r="I177" s="152"/>
      <c r="J177" s="119"/>
      <c r="K177" s="124"/>
      <c r="L177" s="78" t="s">
        <v>47</v>
      </c>
    </row>
    <row r="178" spans="1:12" ht="43.5" x14ac:dyDescent="0.4">
      <c r="A178" s="123"/>
      <c r="B178" s="253"/>
      <c r="C178" s="254"/>
      <c r="D178" s="255"/>
      <c r="E178" s="92"/>
      <c r="F178" s="152"/>
      <c r="G178" s="152"/>
      <c r="H178" s="152"/>
      <c r="I178" s="152"/>
      <c r="J178" s="119"/>
      <c r="K178" s="124"/>
      <c r="L178" s="78" t="s">
        <v>47</v>
      </c>
    </row>
    <row r="179" spans="1:12" ht="43.5" x14ac:dyDescent="0.4">
      <c r="A179" s="123"/>
      <c r="B179" s="153" t="str">
        <f>IF(B167="","","Subtotale:")</f>
        <v/>
      </c>
      <c r="C179" s="153"/>
      <c r="D179" s="153"/>
      <c r="E179" s="154"/>
      <c r="F179" s="154"/>
      <c r="G179" s="154"/>
      <c r="H179" s="154"/>
      <c r="I179" s="154"/>
      <c r="J179" s="150" t="str">
        <f>IF(SUM(J169:J178)&gt;0,SUM(J169:J178),"")</f>
        <v/>
      </c>
      <c r="K179" s="124"/>
      <c r="L179" s="78" t="s">
        <v>47</v>
      </c>
    </row>
    <row r="180" spans="1:12" ht="26.25" customHeight="1" x14ac:dyDescent="0.4">
      <c r="A180" s="123"/>
      <c r="B180" s="128"/>
      <c r="C180" s="129"/>
      <c r="D180" s="129"/>
      <c r="E180" s="130"/>
      <c r="F180" s="131"/>
      <c r="G180" s="128"/>
      <c r="H180" s="128"/>
      <c r="I180" s="128"/>
      <c r="J180" s="132"/>
      <c r="K180" s="124"/>
      <c r="L180" s="76" t="s">
        <v>47</v>
      </c>
    </row>
    <row r="181" spans="1:12" ht="45" customHeight="1" x14ac:dyDescent="0.3">
      <c r="B181" s="68"/>
      <c r="C181" s="44"/>
      <c r="D181" s="44"/>
      <c r="E181" s="43"/>
      <c r="F181" s="39"/>
      <c r="G181" s="41"/>
      <c r="H181" s="41"/>
      <c r="I181" s="40"/>
      <c r="J181" s="42"/>
      <c r="L181" s="76"/>
    </row>
    <row r="182" spans="1:12" ht="45" customHeight="1" thickBot="1" x14ac:dyDescent="0.35">
      <c r="B182" s="156" t="s">
        <v>53</v>
      </c>
      <c r="C182" s="156"/>
      <c r="D182" s="156"/>
      <c r="E182" s="155"/>
      <c r="F182" s="155"/>
      <c r="G182" s="156"/>
      <c r="H182" s="156"/>
      <c r="I182" s="155"/>
      <c r="J182" s="155"/>
      <c r="K182" s="57"/>
      <c r="L182" s="76"/>
    </row>
    <row r="183" spans="1:12" ht="132" customHeight="1" thickTop="1" x14ac:dyDescent="0.3">
      <c r="B183" s="232" t="s">
        <v>54</v>
      </c>
      <c r="C183" s="233"/>
      <c r="D183" s="233"/>
      <c r="E183" s="256" t="s">
        <v>55</v>
      </c>
      <c r="F183" s="257"/>
      <c r="G183" s="233" t="s">
        <v>68</v>
      </c>
      <c r="H183" s="233"/>
      <c r="I183" s="256" t="s">
        <v>69</v>
      </c>
      <c r="J183" s="257"/>
      <c r="K183" s="57"/>
      <c r="L183" s="76"/>
    </row>
    <row r="184" spans="1:12" ht="45" customHeight="1" x14ac:dyDescent="0.3">
      <c r="B184" s="230" t="s">
        <v>57</v>
      </c>
      <c r="C184" s="231"/>
      <c r="D184" s="231"/>
      <c r="E184" s="260">
        <f>SUM(J49:J58)</f>
        <v>0</v>
      </c>
      <c r="F184" s="261"/>
      <c r="G184" s="264"/>
      <c r="H184" s="264"/>
      <c r="I184" s="258"/>
      <c r="J184" s="259"/>
      <c r="K184" s="57"/>
      <c r="L184" s="76"/>
    </row>
    <row r="185" spans="1:12" ht="45" customHeight="1" x14ac:dyDescent="0.3">
      <c r="B185" s="230" t="s">
        <v>58</v>
      </c>
      <c r="C185" s="231"/>
      <c r="D185" s="231"/>
      <c r="E185" s="260">
        <f>SUM(J62:J64)</f>
        <v>0</v>
      </c>
      <c r="F185" s="261"/>
      <c r="G185" s="264"/>
      <c r="H185" s="264"/>
      <c r="I185" s="258"/>
      <c r="J185" s="259"/>
      <c r="K185" s="57"/>
      <c r="L185" s="76"/>
    </row>
    <row r="186" spans="1:12" ht="45" customHeight="1" x14ac:dyDescent="0.3">
      <c r="B186" s="230" t="s">
        <v>59</v>
      </c>
      <c r="C186" s="231"/>
      <c r="D186" s="231"/>
      <c r="E186" s="260">
        <f>SUM(J70:J79)</f>
        <v>0</v>
      </c>
      <c r="F186" s="261"/>
      <c r="G186" s="264"/>
      <c r="H186" s="264"/>
      <c r="I186" s="258"/>
      <c r="J186" s="259"/>
      <c r="K186" s="57"/>
      <c r="L186" s="76"/>
    </row>
    <row r="187" spans="1:12" ht="45" customHeight="1" x14ac:dyDescent="0.3">
      <c r="B187" s="230" t="s">
        <v>60</v>
      </c>
      <c r="C187" s="231"/>
      <c r="D187" s="231"/>
      <c r="E187" s="258"/>
      <c r="F187" s="259"/>
      <c r="G187" s="265">
        <f>SUM(J85:J92)</f>
        <v>0</v>
      </c>
      <c r="H187" s="265"/>
      <c r="I187" s="260">
        <f>SUM(J85:J92)/2</f>
        <v>0</v>
      </c>
      <c r="J187" s="261"/>
      <c r="K187" s="57"/>
      <c r="L187" s="76"/>
    </row>
    <row r="188" spans="1:12" ht="45" customHeight="1" x14ac:dyDescent="0.3">
      <c r="B188" s="230" t="s">
        <v>61</v>
      </c>
      <c r="C188" s="231"/>
      <c r="D188" s="231"/>
      <c r="E188" s="258"/>
      <c r="F188" s="259"/>
      <c r="G188" s="265">
        <f>SUM(J96)</f>
        <v>0</v>
      </c>
      <c r="H188" s="265"/>
      <c r="I188" s="260">
        <f>SUM(J96)/2</f>
        <v>0</v>
      </c>
      <c r="J188" s="261"/>
      <c r="K188" s="57"/>
      <c r="L188" s="76"/>
    </row>
    <row r="189" spans="1:12" ht="45" customHeight="1" x14ac:dyDescent="0.3">
      <c r="B189" s="230" t="s">
        <v>62</v>
      </c>
      <c r="C189" s="231"/>
      <c r="D189" s="231"/>
      <c r="E189" s="258"/>
      <c r="F189" s="259"/>
      <c r="G189" s="265">
        <f>SUM(J101:J110)</f>
        <v>0</v>
      </c>
      <c r="H189" s="265"/>
      <c r="I189" s="260">
        <f>G189</f>
        <v>0</v>
      </c>
      <c r="J189" s="261"/>
      <c r="K189" s="57"/>
      <c r="L189" s="76"/>
    </row>
    <row r="190" spans="1:12" ht="45" customHeight="1" x14ac:dyDescent="0.3">
      <c r="B190" s="230" t="s">
        <v>61</v>
      </c>
      <c r="C190" s="231"/>
      <c r="D190" s="231"/>
      <c r="E190" s="258"/>
      <c r="F190" s="259"/>
      <c r="G190" s="265">
        <f>SUM(J114)</f>
        <v>0</v>
      </c>
      <c r="H190" s="265"/>
      <c r="I190" s="260">
        <f t="shared" ref="I190:I195" si="3">G190</f>
        <v>0</v>
      </c>
      <c r="J190" s="261"/>
      <c r="K190" s="57"/>
      <c r="L190" s="76"/>
    </row>
    <row r="191" spans="1:12" ht="45" customHeight="1" x14ac:dyDescent="0.3">
      <c r="B191" s="230" t="s">
        <v>63</v>
      </c>
      <c r="C191" s="231"/>
      <c r="D191" s="231"/>
      <c r="E191" s="258"/>
      <c r="F191" s="259"/>
      <c r="G191" s="265">
        <f>SUM(J120:J129)</f>
        <v>0</v>
      </c>
      <c r="H191" s="265"/>
      <c r="I191" s="260">
        <f t="shared" si="3"/>
        <v>0</v>
      </c>
      <c r="J191" s="261"/>
      <c r="K191" s="57"/>
      <c r="L191" s="76"/>
    </row>
    <row r="192" spans="1:12" ht="45" customHeight="1" x14ac:dyDescent="0.3">
      <c r="B192" s="230" t="s">
        <v>64</v>
      </c>
      <c r="C192" s="231"/>
      <c r="D192" s="231"/>
      <c r="E192" s="258"/>
      <c r="F192" s="259"/>
      <c r="G192" s="265">
        <f>SUM(J132)</f>
        <v>0</v>
      </c>
      <c r="H192" s="265"/>
      <c r="I192" s="260">
        <f t="shared" si="3"/>
        <v>0</v>
      </c>
      <c r="J192" s="261"/>
      <c r="K192" s="57"/>
      <c r="L192" s="76"/>
    </row>
    <row r="193" spans="1:12" ht="45" customHeight="1" x14ac:dyDescent="0.3">
      <c r="B193" s="230" t="s">
        <v>65</v>
      </c>
      <c r="C193" s="231"/>
      <c r="D193" s="231"/>
      <c r="E193" s="258"/>
      <c r="F193" s="259"/>
      <c r="G193" s="265">
        <f>SUM(J139:J148)</f>
        <v>0</v>
      </c>
      <c r="H193" s="265"/>
      <c r="I193" s="260">
        <f t="shared" si="3"/>
        <v>0</v>
      </c>
      <c r="J193" s="261"/>
      <c r="K193" s="57"/>
      <c r="L193" s="76"/>
    </row>
    <row r="194" spans="1:12" ht="45" customHeight="1" x14ac:dyDescent="0.3">
      <c r="B194" s="230" t="s">
        <v>66</v>
      </c>
      <c r="C194" s="231"/>
      <c r="D194" s="231"/>
      <c r="E194" s="258"/>
      <c r="F194" s="259"/>
      <c r="G194" s="265">
        <f>SUM(J154:J163)</f>
        <v>0</v>
      </c>
      <c r="H194" s="265"/>
      <c r="I194" s="260">
        <f t="shared" si="3"/>
        <v>0</v>
      </c>
      <c r="J194" s="261"/>
      <c r="K194" s="57"/>
      <c r="L194" s="76"/>
    </row>
    <row r="195" spans="1:12" ht="45" customHeight="1" x14ac:dyDescent="0.3">
      <c r="B195" s="230" t="s">
        <v>67</v>
      </c>
      <c r="C195" s="231"/>
      <c r="D195" s="231"/>
      <c r="E195" s="258"/>
      <c r="F195" s="259"/>
      <c r="G195" s="265">
        <f>SUM(J179)</f>
        <v>0</v>
      </c>
      <c r="H195" s="265"/>
      <c r="I195" s="260">
        <f t="shared" si="3"/>
        <v>0</v>
      </c>
      <c r="J195" s="261"/>
      <c r="K195" s="57"/>
      <c r="L195" s="76"/>
    </row>
    <row r="196" spans="1:12" ht="45" customHeight="1" thickBot="1" x14ac:dyDescent="0.35">
      <c r="B196" s="230" t="str">
        <f>IF(B182="","","TOTALI")</f>
        <v>TOTALI</v>
      </c>
      <c r="C196" s="231"/>
      <c r="D196" s="231"/>
      <c r="E196" s="262">
        <f>SUM(E184:F195)</f>
        <v>0</v>
      </c>
      <c r="F196" s="263"/>
      <c r="G196" s="265">
        <f>SUM(G184:H195)</f>
        <v>0</v>
      </c>
      <c r="H196" s="265"/>
      <c r="I196" s="262">
        <f>SUM(I184:J195)</f>
        <v>0</v>
      </c>
      <c r="J196" s="263"/>
      <c r="K196" s="57"/>
      <c r="L196" s="76"/>
    </row>
    <row r="197" spans="1:12" ht="45" customHeight="1" thickTop="1" x14ac:dyDescent="0.3">
      <c r="B197" s="201"/>
      <c r="C197" s="201"/>
      <c r="D197" s="201"/>
      <c r="E197" s="201"/>
      <c r="F197" s="201"/>
      <c r="G197" s="201"/>
      <c r="H197" s="201"/>
      <c r="I197" s="201"/>
      <c r="J197" s="54"/>
      <c r="K197" s="57"/>
      <c r="L197" s="76"/>
    </row>
    <row r="198" spans="1:12" ht="58.5" customHeight="1" x14ac:dyDescent="0.3">
      <c r="B198" s="268" t="s">
        <v>70</v>
      </c>
      <c r="C198" s="268"/>
      <c r="D198" s="268"/>
      <c r="E198" s="268"/>
      <c r="F198" s="268"/>
      <c r="G198" s="268"/>
      <c r="H198" s="268"/>
      <c r="I198" s="268"/>
      <c r="J198" s="268"/>
      <c r="K198" s="57"/>
      <c r="L198" s="76"/>
    </row>
    <row r="199" spans="1:12" ht="45" customHeight="1" x14ac:dyDescent="0.4">
      <c r="A199" s="123"/>
      <c r="B199" s="128"/>
      <c r="C199" s="129"/>
      <c r="D199" s="129"/>
      <c r="E199" s="130"/>
      <c r="F199" s="131"/>
      <c r="G199" s="128"/>
      <c r="H199" s="128"/>
      <c r="I199" s="128"/>
      <c r="J199" s="132"/>
      <c r="K199" s="124"/>
      <c r="L199" s="76"/>
    </row>
    <row r="200" spans="1:12" s="67" customFormat="1" ht="108.75" x14ac:dyDescent="0.4">
      <c r="A200" s="123"/>
      <c r="B200" s="168" t="s">
        <v>56</v>
      </c>
      <c r="C200" s="168"/>
      <c r="D200" s="168"/>
      <c r="E200" s="168"/>
      <c r="F200" s="168"/>
      <c r="G200" s="168"/>
      <c r="H200" s="168"/>
      <c r="I200" s="169">
        <f>E196</f>
        <v>0</v>
      </c>
      <c r="J200" s="169"/>
      <c r="K200" s="124"/>
      <c r="L200" s="81" t="s">
        <v>47</v>
      </c>
    </row>
    <row r="201" spans="1:12" s="67" customFormat="1" ht="108.75" x14ac:dyDescent="0.4">
      <c r="A201" s="123"/>
      <c r="B201" s="168" t="s">
        <v>71</v>
      </c>
      <c r="C201" s="168"/>
      <c r="D201" s="168"/>
      <c r="E201" s="168"/>
      <c r="F201" s="168"/>
      <c r="G201" s="168"/>
      <c r="H201" s="168"/>
      <c r="I201" s="266">
        <f>G196</f>
        <v>0</v>
      </c>
      <c r="J201" s="267"/>
      <c r="K201" s="124"/>
      <c r="L201" s="81"/>
    </row>
    <row r="202" spans="1:12" s="67" customFormat="1" ht="108.75" customHeight="1" x14ac:dyDescent="0.4">
      <c r="A202" s="123"/>
      <c r="B202" s="168" t="s">
        <v>72</v>
      </c>
      <c r="C202" s="168"/>
      <c r="D202" s="168"/>
      <c r="E202" s="168"/>
      <c r="F202" s="168"/>
      <c r="G202" s="168"/>
      <c r="H202" s="168"/>
      <c r="I202" s="266">
        <f>I196</f>
        <v>0</v>
      </c>
      <c r="J202" s="267"/>
      <c r="K202" s="124"/>
      <c r="L202" s="81"/>
    </row>
    <row r="203" spans="1:12" s="67" customFormat="1" ht="52.5" customHeight="1" x14ac:dyDescent="0.4">
      <c r="A203" s="123"/>
      <c r="B203" s="170" t="str">
        <f>IF(B200="","","OLTRE IVA E CASSA PREVIDENZIALE COME PER LEGGE")</f>
        <v>OLTRE IVA E CASSA PREVIDENZIALE COME PER LEGGE</v>
      </c>
      <c r="C203" s="170"/>
      <c r="D203" s="170"/>
      <c r="E203" s="170"/>
      <c r="F203" s="170"/>
      <c r="G203" s="170"/>
      <c r="H203" s="170"/>
      <c r="I203" s="170"/>
      <c r="J203" s="170"/>
      <c r="K203" s="124"/>
      <c r="L203" s="82" t="s">
        <v>47</v>
      </c>
    </row>
    <row r="204" spans="1:12" ht="30.75" x14ac:dyDescent="0.4">
      <c r="A204" s="123"/>
      <c r="B204" s="134"/>
      <c r="C204" s="134"/>
      <c r="D204" s="134"/>
      <c r="E204" s="134"/>
      <c r="F204" s="134"/>
      <c r="G204" s="134"/>
      <c r="H204" s="134"/>
      <c r="I204" s="134"/>
      <c r="J204" s="134"/>
      <c r="K204" s="123"/>
      <c r="L204" s="76" t="s">
        <v>47</v>
      </c>
    </row>
    <row r="205" spans="1:12" s="57" customFormat="1" ht="108.75" x14ac:dyDescent="0.4">
      <c r="A205" s="123"/>
      <c r="B205" s="135" t="s">
        <v>49</v>
      </c>
      <c r="C205" s="166"/>
      <c r="D205" s="167"/>
      <c r="E205" s="125" t="s">
        <v>50</v>
      </c>
      <c r="F205" s="171"/>
      <c r="G205" s="172"/>
      <c r="H205" s="172"/>
      <c r="I205" s="172"/>
      <c r="J205" s="173"/>
      <c r="K205" s="124"/>
      <c r="L205" s="81" t="s">
        <v>47</v>
      </c>
    </row>
    <row r="206" spans="1:12" ht="108.75" x14ac:dyDescent="0.3">
      <c r="A206" s="237" t="s">
        <v>73</v>
      </c>
      <c r="B206" s="237"/>
      <c r="C206" s="237"/>
      <c r="D206" s="237"/>
      <c r="E206" s="237"/>
      <c r="F206" s="237"/>
      <c r="G206" s="237"/>
      <c r="H206" s="237"/>
      <c r="I206" s="237"/>
      <c r="J206" s="237"/>
      <c r="K206" s="237"/>
      <c r="L206" s="81" t="s">
        <v>47</v>
      </c>
    </row>
    <row r="207" spans="1:12" hidden="1" x14ac:dyDescent="0.3"/>
    <row r="208" spans="1:12"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x14ac:dyDescent="0.3"/>
    <row r="237" x14ac:dyDescent="0.3"/>
  </sheetData>
  <sheetProtection algorithmName="SHA-512" hashValue="plJSRlUROwnqpbrUz7WbaRKEusTbMedFNXVDmwVKThobQEDi5WMbQ52BsUWEbi6DAT/8W9kAju8XvIY2y0O7rg==" saltValue="KGBTbOthcp3V769pQJV97Q==" spinCount="100000" sheet="1" objects="1" scenarios="1"/>
  <mergeCells count="266">
    <mergeCell ref="I201:J201"/>
    <mergeCell ref="I202:J202"/>
    <mergeCell ref="B201:H201"/>
    <mergeCell ref="B202:H202"/>
    <mergeCell ref="E189:F189"/>
    <mergeCell ref="E190:F190"/>
    <mergeCell ref="E191:F191"/>
    <mergeCell ref="E192:F192"/>
    <mergeCell ref="E193:F193"/>
    <mergeCell ref="E194:F194"/>
    <mergeCell ref="E195:F195"/>
    <mergeCell ref="B198:J198"/>
    <mergeCell ref="B188:D188"/>
    <mergeCell ref="B189:D189"/>
    <mergeCell ref="B190:D190"/>
    <mergeCell ref="B191:D191"/>
    <mergeCell ref="G191:H191"/>
    <mergeCell ref="G196:H196"/>
    <mergeCell ref="E184:F184"/>
    <mergeCell ref="E185:F185"/>
    <mergeCell ref="E186:F186"/>
    <mergeCell ref="E187:F187"/>
    <mergeCell ref="E188:F188"/>
    <mergeCell ref="G189:H189"/>
    <mergeCell ref="G190:H190"/>
    <mergeCell ref="E196:F196"/>
    <mergeCell ref="B192:D192"/>
    <mergeCell ref="B193:D193"/>
    <mergeCell ref="B194:D194"/>
    <mergeCell ref="B195:D195"/>
    <mergeCell ref="B196:D196"/>
    <mergeCell ref="I186:J186"/>
    <mergeCell ref="I187:J187"/>
    <mergeCell ref="I188:J188"/>
    <mergeCell ref="I189:J189"/>
    <mergeCell ref="I190:J190"/>
    <mergeCell ref="I196:J196"/>
    <mergeCell ref="G183:H183"/>
    <mergeCell ref="E183:F183"/>
    <mergeCell ref="G184:H184"/>
    <mergeCell ref="G185:H185"/>
    <mergeCell ref="G186:H186"/>
    <mergeCell ref="G187:H187"/>
    <mergeCell ref="G188:H188"/>
    <mergeCell ref="G192:H192"/>
    <mergeCell ref="G193:H193"/>
    <mergeCell ref="G194:H194"/>
    <mergeCell ref="G195:H195"/>
    <mergeCell ref="I191:J191"/>
    <mergeCell ref="I192:J192"/>
    <mergeCell ref="I193:J193"/>
    <mergeCell ref="I194:J194"/>
    <mergeCell ref="I195:J195"/>
    <mergeCell ref="B182:J182"/>
    <mergeCell ref="B184:D184"/>
    <mergeCell ref="B183:D183"/>
    <mergeCell ref="B185:D185"/>
    <mergeCell ref="B65:J65"/>
    <mergeCell ref="B186:D186"/>
    <mergeCell ref="B187:D187"/>
    <mergeCell ref="A206:K206"/>
    <mergeCell ref="B79:C79"/>
    <mergeCell ref="D79:I79"/>
    <mergeCell ref="D96:E96"/>
    <mergeCell ref="F96:G96"/>
    <mergeCell ref="B100:D101"/>
    <mergeCell ref="B102:D110"/>
    <mergeCell ref="B119:D120"/>
    <mergeCell ref="B121:D129"/>
    <mergeCell ref="B172:D178"/>
    <mergeCell ref="B170:D171"/>
    <mergeCell ref="B168:D169"/>
    <mergeCell ref="B139:D142"/>
    <mergeCell ref="B197:I197"/>
    <mergeCell ref="I183:J183"/>
    <mergeCell ref="I184:J184"/>
    <mergeCell ref="I185:J185"/>
    <mergeCell ref="B161:D162"/>
    <mergeCell ref="B163:D163"/>
    <mergeCell ref="D49:E49"/>
    <mergeCell ref="D56:E56"/>
    <mergeCell ref="D57:E57"/>
    <mergeCell ref="B3:K3"/>
    <mergeCell ref="I31:I32"/>
    <mergeCell ref="J31:J32"/>
    <mergeCell ref="B28:J28"/>
    <mergeCell ref="D58:E58"/>
    <mergeCell ref="B59:J59"/>
    <mergeCell ref="B49:C49"/>
    <mergeCell ref="B50:C50"/>
    <mergeCell ref="D50:E50"/>
    <mergeCell ref="B51:C51"/>
    <mergeCell ref="D51:E51"/>
    <mergeCell ref="B52:C52"/>
    <mergeCell ref="D52:E52"/>
    <mergeCell ref="B53:C53"/>
    <mergeCell ref="D53:E53"/>
    <mergeCell ref="B55:C55"/>
    <mergeCell ref="B10:J10"/>
    <mergeCell ref="C40:D40"/>
    <mergeCell ref="C41:D41"/>
    <mergeCell ref="B2:K2"/>
    <mergeCell ref="B4:K4"/>
    <mergeCell ref="B5:K5"/>
    <mergeCell ref="B86:D86"/>
    <mergeCell ref="B87:D87"/>
    <mergeCell ref="B88:D88"/>
    <mergeCell ref="B48:C48"/>
    <mergeCell ref="D48:E48"/>
    <mergeCell ref="C33:D33"/>
    <mergeCell ref="C34:D34"/>
    <mergeCell ref="C35:D35"/>
    <mergeCell ref="C36:D36"/>
    <mergeCell ref="C39:D39"/>
    <mergeCell ref="B45:J45"/>
    <mergeCell ref="B46:J46"/>
    <mergeCell ref="B47:J47"/>
    <mergeCell ref="B26:J27"/>
    <mergeCell ref="B29:J29"/>
    <mergeCell ref="B30:J30"/>
    <mergeCell ref="B31:B32"/>
    <mergeCell ref="C31:D32"/>
    <mergeCell ref="E31:E32"/>
    <mergeCell ref="F31:F32"/>
    <mergeCell ref="G31:H31"/>
    <mergeCell ref="D55:E55"/>
    <mergeCell ref="B56:C56"/>
    <mergeCell ref="B54:C54"/>
    <mergeCell ref="D54:E54"/>
    <mergeCell ref="B57:C57"/>
    <mergeCell ref="B58:C58"/>
    <mergeCell ref="C37:D37"/>
    <mergeCell ref="C38:D38"/>
    <mergeCell ref="F61:H61"/>
    <mergeCell ref="C42:D42"/>
    <mergeCell ref="B61:E61"/>
    <mergeCell ref="F104:I104"/>
    <mergeCell ref="F105:I105"/>
    <mergeCell ref="F90:G90"/>
    <mergeCell ref="F91:G91"/>
    <mergeCell ref="F92:G92"/>
    <mergeCell ref="B69:J69"/>
    <mergeCell ref="F89:G89"/>
    <mergeCell ref="B77:I77"/>
    <mergeCell ref="B78:I78"/>
    <mergeCell ref="B80:I80"/>
    <mergeCell ref="B83:J83"/>
    <mergeCell ref="F84:G84"/>
    <mergeCell ref="F85:G85"/>
    <mergeCell ref="F86:G86"/>
    <mergeCell ref="F87:G87"/>
    <mergeCell ref="B84:D84"/>
    <mergeCell ref="B85:D85"/>
    <mergeCell ref="B90:D90"/>
    <mergeCell ref="B91:D91"/>
    <mergeCell ref="B92:D92"/>
    <mergeCell ref="F102:I102"/>
    <mergeCell ref="F103:I103"/>
    <mergeCell ref="B94:C94"/>
    <mergeCell ref="D94:J94"/>
    <mergeCell ref="B95:J95"/>
    <mergeCell ref="B99:J99"/>
    <mergeCell ref="F100:I100"/>
    <mergeCell ref="F101:I101"/>
    <mergeCell ref="B62:E62"/>
    <mergeCell ref="F62:H62"/>
    <mergeCell ref="B63:E63"/>
    <mergeCell ref="F63:H63"/>
    <mergeCell ref="B64:E64"/>
    <mergeCell ref="F64:H64"/>
    <mergeCell ref="B66:I66"/>
    <mergeCell ref="F88:G88"/>
    <mergeCell ref="B70:I70"/>
    <mergeCell ref="B71:I71"/>
    <mergeCell ref="B72:I72"/>
    <mergeCell ref="B73:I73"/>
    <mergeCell ref="B74:I74"/>
    <mergeCell ref="B93:E93"/>
    <mergeCell ref="F93:G93"/>
    <mergeCell ref="B75:I75"/>
    <mergeCell ref="B76:I76"/>
    <mergeCell ref="B89:D89"/>
    <mergeCell ref="B153:D154"/>
    <mergeCell ref="B149:E149"/>
    <mergeCell ref="B147:D148"/>
    <mergeCell ref="F149:G149"/>
    <mergeCell ref="B143:D144"/>
    <mergeCell ref="B145:D146"/>
    <mergeCell ref="F106:I106"/>
    <mergeCell ref="F107:I107"/>
    <mergeCell ref="F108:I108"/>
    <mergeCell ref="F139:G139"/>
    <mergeCell ref="F154:I154"/>
    <mergeCell ref="B152:J152"/>
    <mergeCell ref="F153:I153"/>
    <mergeCell ref="F148:G148"/>
    <mergeCell ref="F140:G140"/>
    <mergeCell ref="F141:G141"/>
    <mergeCell ref="F143:G143"/>
    <mergeCell ref="F144:G144"/>
    <mergeCell ref="F142:G142"/>
    <mergeCell ref="F145:G145"/>
    <mergeCell ref="F138:G138"/>
    <mergeCell ref="B132:D134"/>
    <mergeCell ref="E132:E134"/>
    <mergeCell ref="F132:H134"/>
    <mergeCell ref="F178:I178"/>
    <mergeCell ref="F173:I173"/>
    <mergeCell ref="F174:I174"/>
    <mergeCell ref="F175:I175"/>
    <mergeCell ref="F170:I170"/>
    <mergeCell ref="F171:I171"/>
    <mergeCell ref="F172:I172"/>
    <mergeCell ref="F146:G146"/>
    <mergeCell ref="F147:G147"/>
    <mergeCell ref="C205:D205"/>
    <mergeCell ref="B179:I179"/>
    <mergeCell ref="B200:H200"/>
    <mergeCell ref="I200:J200"/>
    <mergeCell ref="B203:J203"/>
    <mergeCell ref="F205:J205"/>
    <mergeCell ref="B155:D156"/>
    <mergeCell ref="B157:D158"/>
    <mergeCell ref="B159:D160"/>
    <mergeCell ref="F161:I161"/>
    <mergeCell ref="F162:I162"/>
    <mergeCell ref="F163:I163"/>
    <mergeCell ref="F155:I155"/>
    <mergeCell ref="F156:I156"/>
    <mergeCell ref="F157:I157"/>
    <mergeCell ref="F158:I158"/>
    <mergeCell ref="F159:I159"/>
    <mergeCell ref="F160:I160"/>
    <mergeCell ref="B164:I164"/>
    <mergeCell ref="B167:J167"/>
    <mergeCell ref="F168:I168"/>
    <mergeCell ref="F169:I169"/>
    <mergeCell ref="F176:I176"/>
    <mergeCell ref="F177:I177"/>
    <mergeCell ref="I132:I134"/>
    <mergeCell ref="B138:D138"/>
    <mergeCell ref="F127:I127"/>
    <mergeCell ref="F128:I128"/>
    <mergeCell ref="F129:I129"/>
    <mergeCell ref="B130:I130"/>
    <mergeCell ref="B131:J131"/>
    <mergeCell ref="D112:J112"/>
    <mergeCell ref="B113:J113"/>
    <mergeCell ref="D114:E114"/>
    <mergeCell ref="F114:G114"/>
    <mergeCell ref="B115:J115"/>
    <mergeCell ref="J132:J134"/>
    <mergeCell ref="B137:J137"/>
    <mergeCell ref="F109:I109"/>
    <mergeCell ref="F110:I110"/>
    <mergeCell ref="B111:I111"/>
    <mergeCell ref="F120:I120"/>
    <mergeCell ref="B118:J118"/>
    <mergeCell ref="F119:I119"/>
    <mergeCell ref="F126:I126"/>
    <mergeCell ref="F125:I125"/>
    <mergeCell ref="F121:I121"/>
    <mergeCell ref="F122:I122"/>
    <mergeCell ref="F123:I123"/>
    <mergeCell ref="F124:I124"/>
    <mergeCell ref="B112:C112"/>
  </mergeCells>
  <conditionalFormatting sqref="B69:J79">
    <cfRule type="expression" dxfId="24" priority="39">
      <formula>$D$15&lt;&gt;"SI"</formula>
    </cfRule>
  </conditionalFormatting>
  <conditionalFormatting sqref="B83:J94">
    <cfRule type="expression" dxfId="23" priority="38">
      <formula>$D$16&lt;&gt;"SI"</formula>
    </cfRule>
  </conditionalFormatting>
  <conditionalFormatting sqref="B95:J96">
    <cfRule type="expression" dxfId="22" priority="37">
      <formula>$D$17&lt;&gt;"SI"</formula>
    </cfRule>
  </conditionalFormatting>
  <conditionalFormatting sqref="B99:J112">
    <cfRule type="expression" dxfId="21" priority="36">
      <formula>$D$18&lt;&gt;"SI"</formula>
    </cfRule>
  </conditionalFormatting>
  <conditionalFormatting sqref="B113:J115">
    <cfRule type="expression" dxfId="20" priority="35">
      <formula>$D$19&lt;&gt;"SI"</formula>
    </cfRule>
  </conditionalFormatting>
  <conditionalFormatting sqref="B118:J131">
    <cfRule type="expression" dxfId="19" priority="34">
      <formula>$D$20&lt;&gt;"SI"</formula>
    </cfRule>
  </conditionalFormatting>
  <conditionalFormatting sqref="B132:J134">
    <cfRule type="expression" dxfId="18" priority="33">
      <formula>$D$21&lt;&gt;"SI"</formula>
    </cfRule>
  </conditionalFormatting>
  <conditionalFormatting sqref="B137:J149">
    <cfRule type="expression" dxfId="17" priority="32">
      <formula>$D$22&lt;&gt;"SI"</formula>
    </cfRule>
  </conditionalFormatting>
  <conditionalFormatting sqref="B152:J164">
    <cfRule type="expression" dxfId="16" priority="31">
      <formula>$D$23&lt;&gt;"SI"</formula>
    </cfRule>
  </conditionalFormatting>
  <conditionalFormatting sqref="B167:J179">
    <cfRule type="expression" dxfId="15" priority="30">
      <formula>$D$24&lt;&gt;"SI"</formula>
    </cfRule>
  </conditionalFormatting>
  <conditionalFormatting sqref="B94:J94">
    <cfRule type="expression" dxfId="14" priority="2">
      <formula>$D$16="SI"</formula>
    </cfRule>
  </conditionalFormatting>
  <conditionalFormatting sqref="B131:J131">
    <cfRule type="expression" dxfId="13" priority="1">
      <formula>$D$20="SI"</formula>
    </cfRule>
  </conditionalFormatting>
  <dataValidations count="1">
    <dataValidation type="list" allowBlank="1" showErrorMessage="1" promptTitle="mess." prompt="Scegli &quot;Si&quot; o &quot;No&quot;." sqref="D15:D24">
      <formula1>$E$13:$E$15</formula1>
    </dataValidation>
  </dataValidations>
  <pageMargins left="0.70866141732283472" right="0.70866141732283472" top="0.55118110236220474" bottom="0.55118110236220474" header="0.31496062992125984" footer="0.31496062992125984"/>
  <pageSetup paperSize="9" scale="33" fitToHeight="0" orientation="landscape" r:id="rId1"/>
  <rowBreaks count="10" manualBreakCount="10">
    <brk id="28" max="10" man="1"/>
    <brk id="43" max="10" man="1"/>
    <brk id="67" max="10" man="1"/>
    <brk id="81" max="10" man="1"/>
    <brk id="97" max="10" man="1"/>
    <brk id="116" max="10" man="1"/>
    <brk id="135" max="10" man="1"/>
    <brk id="150" max="10" man="1"/>
    <brk id="165" max="10" man="1"/>
    <brk id="18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XFD122"/>
  <sheetViews>
    <sheetView showGridLines="0" zoomScale="80" zoomScaleNormal="80" workbookViewId="0">
      <selection activeCell="G24" sqref="G24"/>
    </sheetView>
  </sheetViews>
  <sheetFormatPr defaultColWidth="0" defaultRowHeight="15" zeroHeight="1" x14ac:dyDescent="0.25"/>
  <cols>
    <col min="1" max="1" width="2.28515625" style="2" customWidth="1"/>
    <col min="2" max="2" width="20" style="2" bestFit="1" customWidth="1"/>
    <col min="3" max="3" width="20.28515625" style="3" bestFit="1" customWidth="1"/>
    <col min="4" max="4" width="7.85546875" style="3" bestFit="1" customWidth="1"/>
    <col min="5" max="5" width="9.28515625" bestFit="1" customWidth="1"/>
    <col min="6" max="6" width="10.28515625" bestFit="1" customWidth="1"/>
    <col min="7" max="9" width="21.140625" bestFit="1" customWidth="1"/>
    <col min="10" max="10" width="4.140625" customWidth="1"/>
    <col min="11" max="256" width="9.140625" hidden="1"/>
    <col min="257" max="257" width="2.28515625" hidden="1"/>
    <col min="258" max="258" width="14.85546875" hidden="1"/>
    <col min="259" max="259" width="16.42578125" hidden="1"/>
    <col min="260" max="260" width="7.42578125" hidden="1"/>
    <col min="261" max="261" width="8.140625" hidden="1"/>
    <col min="262" max="262" width="9.7109375" hidden="1"/>
    <col min="263" max="263" width="11.5703125" hidden="1"/>
    <col min="264" max="264" width="12.7109375" hidden="1"/>
    <col min="265" max="265" width="12.42578125" hidden="1"/>
    <col min="266" max="266" width="4.140625" hidden="1"/>
    <col min="267" max="512" width="9.140625" hidden="1"/>
    <col min="513" max="513" width="2.28515625" hidden="1"/>
    <col min="514" max="514" width="14.85546875" hidden="1"/>
    <col min="515" max="515" width="16.42578125" hidden="1"/>
    <col min="516" max="516" width="7.42578125" hidden="1"/>
    <col min="517" max="517" width="8.140625" hidden="1"/>
    <col min="518" max="518" width="9.7109375" hidden="1"/>
    <col min="519" max="519" width="11.5703125" hidden="1"/>
    <col min="520" max="520" width="12.7109375" hidden="1"/>
    <col min="521" max="521" width="12.42578125" hidden="1"/>
    <col min="522" max="522" width="4.140625" hidden="1"/>
    <col min="523" max="768" width="9.140625" hidden="1"/>
    <col min="769" max="769" width="2.28515625" hidden="1"/>
    <col min="770" max="770" width="14.85546875" hidden="1"/>
    <col min="771" max="771" width="16.42578125" hidden="1"/>
    <col min="772" max="772" width="7.42578125" hidden="1"/>
    <col min="773" max="773" width="8.140625" hidden="1"/>
    <col min="774" max="774" width="9.7109375" hidden="1"/>
    <col min="775" max="775" width="11.5703125" hidden="1"/>
    <col min="776" max="776" width="12.7109375" hidden="1"/>
    <col min="777" max="777" width="12.42578125" hidden="1"/>
    <col min="778" max="778" width="4.140625" hidden="1"/>
    <col min="779" max="1024" width="9.140625" hidden="1"/>
    <col min="1025" max="1025" width="2.28515625" hidden="1"/>
    <col min="1026" max="1026" width="14.85546875" hidden="1"/>
    <col min="1027" max="1027" width="16.42578125" hidden="1"/>
    <col min="1028" max="1028" width="7.42578125" hidden="1"/>
    <col min="1029" max="1029" width="8.140625" hidden="1"/>
    <col min="1030" max="1030" width="9.7109375" hidden="1"/>
    <col min="1031" max="1031" width="11.5703125" hidden="1"/>
    <col min="1032" max="1032" width="12.7109375" hidden="1"/>
    <col min="1033" max="1033" width="12.42578125" hidden="1"/>
    <col min="1034" max="1034" width="4.140625" hidden="1"/>
    <col min="1035" max="1280" width="9.140625" hidden="1"/>
    <col min="1281" max="1281" width="2.28515625" hidden="1"/>
    <col min="1282" max="1282" width="14.85546875" hidden="1"/>
    <col min="1283" max="1283" width="16.42578125" hidden="1"/>
    <col min="1284" max="1284" width="7.42578125" hidden="1"/>
    <col min="1285" max="1285" width="8.140625" hidden="1"/>
    <col min="1286" max="1286" width="9.7109375" hidden="1"/>
    <col min="1287" max="1287" width="11.5703125" hidden="1"/>
    <col min="1288" max="1288" width="12.7109375" hidden="1"/>
    <col min="1289" max="1289" width="12.42578125" hidden="1"/>
    <col min="1290" max="1290" width="4.140625" hidden="1"/>
    <col min="1291" max="1536" width="9.140625" hidden="1"/>
    <col min="1537" max="1537" width="2.28515625" hidden="1"/>
    <col min="1538" max="1538" width="14.85546875" hidden="1"/>
    <col min="1539" max="1539" width="16.42578125" hidden="1"/>
    <col min="1540" max="1540" width="7.42578125" hidden="1"/>
    <col min="1541" max="1541" width="8.140625" hidden="1"/>
    <col min="1542" max="1542" width="9.7109375" hidden="1"/>
    <col min="1543" max="1543" width="11.5703125" hidden="1"/>
    <col min="1544" max="1544" width="12.7109375" hidden="1"/>
    <col min="1545" max="1545" width="12.42578125" hidden="1"/>
    <col min="1546" max="1546" width="4.140625" hidden="1"/>
    <col min="1547" max="1792" width="9.140625" hidden="1"/>
    <col min="1793" max="1793" width="2.28515625" hidden="1"/>
    <col min="1794" max="1794" width="14.85546875" hidden="1"/>
    <col min="1795" max="1795" width="16.42578125" hidden="1"/>
    <col min="1796" max="1796" width="7.42578125" hidden="1"/>
    <col min="1797" max="1797" width="8.140625" hidden="1"/>
    <col min="1798" max="1798" width="9.7109375" hidden="1"/>
    <col min="1799" max="1799" width="11.5703125" hidden="1"/>
    <col min="1800" max="1800" width="12.7109375" hidden="1"/>
    <col min="1801" max="1801" width="12.42578125" hidden="1"/>
    <col min="1802" max="1802" width="4.140625" hidden="1"/>
    <col min="1803" max="2048" width="9.140625" hidden="1"/>
    <col min="2049" max="2049" width="2.28515625" hidden="1"/>
    <col min="2050" max="2050" width="14.85546875" hidden="1"/>
    <col min="2051" max="2051" width="16.42578125" hidden="1"/>
    <col min="2052" max="2052" width="7.42578125" hidden="1"/>
    <col min="2053" max="2053" width="8.140625" hidden="1"/>
    <col min="2054" max="2054" width="9.7109375" hidden="1"/>
    <col min="2055" max="2055" width="11.5703125" hidden="1"/>
    <col min="2056" max="2056" width="12.7109375" hidden="1"/>
    <col min="2057" max="2057" width="12.42578125" hidden="1"/>
    <col min="2058" max="2058" width="4.140625" hidden="1"/>
    <col min="2059" max="2304" width="9.140625" hidden="1"/>
    <col min="2305" max="2305" width="2.28515625" hidden="1"/>
    <col min="2306" max="2306" width="14.85546875" hidden="1"/>
    <col min="2307" max="2307" width="16.42578125" hidden="1"/>
    <col min="2308" max="2308" width="7.42578125" hidden="1"/>
    <col min="2309" max="2309" width="8.140625" hidden="1"/>
    <col min="2310" max="2310" width="9.7109375" hidden="1"/>
    <col min="2311" max="2311" width="11.5703125" hidden="1"/>
    <col min="2312" max="2312" width="12.7109375" hidden="1"/>
    <col min="2313" max="2313" width="12.42578125" hidden="1"/>
    <col min="2314" max="2314" width="4.140625" hidden="1"/>
    <col min="2315" max="2560" width="9.140625" hidden="1"/>
    <col min="2561" max="2561" width="2.28515625" hidden="1"/>
    <col min="2562" max="2562" width="14.85546875" hidden="1"/>
    <col min="2563" max="2563" width="16.42578125" hidden="1"/>
    <col min="2564" max="2564" width="7.42578125" hidden="1"/>
    <col min="2565" max="2565" width="8.140625" hidden="1"/>
    <col min="2566" max="2566" width="9.7109375" hidden="1"/>
    <col min="2567" max="2567" width="11.5703125" hidden="1"/>
    <col min="2568" max="2568" width="12.7109375" hidden="1"/>
    <col min="2569" max="2569" width="12.42578125" hidden="1"/>
    <col min="2570" max="2570" width="4.140625" hidden="1"/>
    <col min="2571" max="2816" width="9.140625" hidden="1"/>
    <col min="2817" max="2817" width="2.28515625" hidden="1"/>
    <col min="2818" max="2818" width="14.85546875" hidden="1"/>
    <col min="2819" max="2819" width="16.42578125" hidden="1"/>
    <col min="2820" max="2820" width="7.42578125" hidden="1"/>
    <col min="2821" max="2821" width="8.140625" hidden="1"/>
    <col min="2822" max="2822" width="9.7109375" hidden="1"/>
    <col min="2823" max="2823" width="11.5703125" hidden="1"/>
    <col min="2824" max="2824" width="12.7109375" hidden="1"/>
    <col min="2825" max="2825" width="12.42578125" hidden="1"/>
    <col min="2826" max="2826" width="4.140625" hidden="1"/>
    <col min="2827" max="3072" width="9.140625" hidden="1"/>
    <col min="3073" max="3073" width="2.28515625" hidden="1"/>
    <col min="3074" max="3074" width="14.85546875" hidden="1"/>
    <col min="3075" max="3075" width="16.42578125" hidden="1"/>
    <col min="3076" max="3076" width="7.42578125" hidden="1"/>
    <col min="3077" max="3077" width="8.140625" hidden="1"/>
    <col min="3078" max="3078" width="9.7109375" hidden="1"/>
    <col min="3079" max="3079" width="11.5703125" hidden="1"/>
    <col min="3080" max="3080" width="12.7109375" hidden="1"/>
    <col min="3081" max="3081" width="12.42578125" hidden="1"/>
    <col min="3082" max="3082" width="4.140625" hidden="1"/>
    <col min="3083" max="3328" width="9.140625" hidden="1"/>
    <col min="3329" max="3329" width="2.28515625" hidden="1"/>
    <col min="3330" max="3330" width="14.85546875" hidden="1"/>
    <col min="3331" max="3331" width="16.42578125" hidden="1"/>
    <col min="3332" max="3332" width="7.42578125" hidden="1"/>
    <col min="3333" max="3333" width="8.140625" hidden="1"/>
    <col min="3334" max="3334" width="9.7109375" hidden="1"/>
    <col min="3335" max="3335" width="11.5703125" hidden="1"/>
    <col min="3336" max="3336" width="12.7109375" hidden="1"/>
    <col min="3337" max="3337" width="12.42578125" hidden="1"/>
    <col min="3338" max="3338" width="4.140625" hidden="1"/>
    <col min="3339" max="3584" width="9.140625" hidden="1"/>
    <col min="3585" max="3585" width="2.28515625" hidden="1"/>
    <col min="3586" max="3586" width="14.85546875" hidden="1"/>
    <col min="3587" max="3587" width="16.42578125" hidden="1"/>
    <col min="3588" max="3588" width="7.42578125" hidden="1"/>
    <col min="3589" max="3589" width="8.140625" hidden="1"/>
    <col min="3590" max="3590" width="9.7109375" hidden="1"/>
    <col min="3591" max="3591" width="11.5703125" hidden="1"/>
    <col min="3592" max="3592" width="12.7109375" hidden="1"/>
    <col min="3593" max="3593" width="12.42578125" hidden="1"/>
    <col min="3594" max="3594" width="4.140625" hidden="1"/>
    <col min="3595" max="3840" width="9.140625" hidden="1"/>
    <col min="3841" max="3841" width="2.28515625" hidden="1"/>
    <col min="3842" max="3842" width="14.85546875" hidden="1"/>
    <col min="3843" max="3843" width="16.42578125" hidden="1"/>
    <col min="3844" max="3844" width="7.42578125" hidden="1"/>
    <col min="3845" max="3845" width="8.140625" hidden="1"/>
    <col min="3846" max="3846" width="9.7109375" hidden="1"/>
    <col min="3847" max="3847" width="11.5703125" hidden="1"/>
    <col min="3848" max="3848" width="12.7109375" hidden="1"/>
    <col min="3849" max="3849" width="12.42578125" hidden="1"/>
    <col min="3850" max="3850" width="4.140625" hidden="1"/>
    <col min="3851" max="4096" width="9.140625" hidden="1"/>
    <col min="4097" max="4097" width="2.28515625" hidden="1"/>
    <col min="4098" max="4098" width="14.85546875" hidden="1"/>
    <col min="4099" max="4099" width="16.42578125" hidden="1"/>
    <col min="4100" max="4100" width="7.42578125" hidden="1"/>
    <col min="4101" max="4101" width="8.140625" hidden="1"/>
    <col min="4102" max="4102" width="9.7109375" hidden="1"/>
    <col min="4103" max="4103" width="11.5703125" hidden="1"/>
    <col min="4104" max="4104" width="12.7109375" hidden="1"/>
    <col min="4105" max="4105" width="12.42578125" hidden="1"/>
    <col min="4106" max="4106" width="4.140625" hidden="1"/>
    <col min="4107" max="4352" width="9.140625" hidden="1"/>
    <col min="4353" max="4353" width="2.28515625" hidden="1"/>
    <col min="4354" max="4354" width="14.85546875" hidden="1"/>
    <col min="4355" max="4355" width="16.42578125" hidden="1"/>
    <col min="4356" max="4356" width="7.42578125" hidden="1"/>
    <col min="4357" max="4357" width="8.140625" hidden="1"/>
    <col min="4358" max="4358" width="9.7109375" hidden="1"/>
    <col min="4359" max="4359" width="11.5703125" hidden="1"/>
    <col min="4360" max="4360" width="12.7109375" hidden="1"/>
    <col min="4361" max="4361" width="12.42578125" hidden="1"/>
    <col min="4362" max="4362" width="4.140625" hidden="1"/>
    <col min="4363" max="4608" width="9.140625" hidden="1"/>
    <col min="4609" max="4609" width="2.28515625" hidden="1"/>
    <col min="4610" max="4610" width="14.85546875" hidden="1"/>
    <col min="4611" max="4611" width="16.42578125" hidden="1"/>
    <col min="4612" max="4612" width="7.42578125" hidden="1"/>
    <col min="4613" max="4613" width="8.140625" hidden="1"/>
    <col min="4614" max="4614" width="9.7109375" hidden="1"/>
    <col min="4615" max="4615" width="11.5703125" hidden="1"/>
    <col min="4616" max="4616" width="12.7109375" hidden="1"/>
    <col min="4617" max="4617" width="12.42578125" hidden="1"/>
    <col min="4618" max="4618" width="4.140625" hidden="1"/>
    <col min="4619" max="4864" width="9.140625" hidden="1"/>
    <col min="4865" max="4865" width="2.28515625" hidden="1"/>
    <col min="4866" max="4866" width="14.85546875" hidden="1"/>
    <col min="4867" max="4867" width="16.42578125" hidden="1"/>
    <col min="4868" max="4868" width="7.42578125" hidden="1"/>
    <col min="4869" max="4869" width="8.140625" hidden="1"/>
    <col min="4870" max="4870" width="9.7109375" hidden="1"/>
    <col min="4871" max="4871" width="11.5703125" hidden="1"/>
    <col min="4872" max="4872" width="12.7109375" hidden="1"/>
    <col min="4873" max="4873" width="12.42578125" hidden="1"/>
    <col min="4874" max="4874" width="4.140625" hidden="1"/>
    <col min="4875" max="5120" width="9.140625" hidden="1"/>
    <col min="5121" max="5121" width="2.28515625" hidden="1"/>
    <col min="5122" max="5122" width="14.85546875" hidden="1"/>
    <col min="5123" max="5123" width="16.42578125" hidden="1"/>
    <col min="5124" max="5124" width="7.42578125" hidden="1"/>
    <col min="5125" max="5125" width="8.140625" hidden="1"/>
    <col min="5126" max="5126" width="9.7109375" hidden="1"/>
    <col min="5127" max="5127" width="11.5703125" hidden="1"/>
    <col min="5128" max="5128" width="12.7109375" hidden="1"/>
    <col min="5129" max="5129" width="12.42578125" hidden="1"/>
    <col min="5130" max="5130" width="4.140625" hidden="1"/>
    <col min="5131" max="5376" width="9.140625" hidden="1"/>
    <col min="5377" max="5377" width="2.28515625" hidden="1"/>
    <col min="5378" max="5378" width="14.85546875" hidden="1"/>
    <col min="5379" max="5379" width="16.42578125" hidden="1"/>
    <col min="5380" max="5380" width="7.42578125" hidden="1"/>
    <col min="5381" max="5381" width="8.140625" hidden="1"/>
    <col min="5382" max="5382" width="9.7109375" hidden="1"/>
    <col min="5383" max="5383" width="11.5703125" hidden="1"/>
    <col min="5384" max="5384" width="12.7109375" hidden="1"/>
    <col min="5385" max="5385" width="12.42578125" hidden="1"/>
    <col min="5386" max="5386" width="4.140625" hidden="1"/>
    <col min="5387" max="5632" width="9.140625" hidden="1"/>
    <col min="5633" max="5633" width="2.28515625" hidden="1"/>
    <col min="5634" max="5634" width="14.85546875" hidden="1"/>
    <col min="5635" max="5635" width="16.42578125" hidden="1"/>
    <col min="5636" max="5636" width="7.42578125" hidden="1"/>
    <col min="5637" max="5637" width="8.140625" hidden="1"/>
    <col min="5638" max="5638" width="9.7109375" hidden="1"/>
    <col min="5639" max="5639" width="11.5703125" hidden="1"/>
    <col min="5640" max="5640" width="12.7109375" hidden="1"/>
    <col min="5641" max="5641" width="12.42578125" hidden="1"/>
    <col min="5642" max="5642" width="4.140625" hidden="1"/>
    <col min="5643" max="5888" width="9.140625" hidden="1"/>
    <col min="5889" max="5889" width="2.28515625" hidden="1"/>
    <col min="5890" max="5890" width="14.85546875" hidden="1"/>
    <col min="5891" max="5891" width="16.42578125" hidden="1"/>
    <col min="5892" max="5892" width="7.42578125" hidden="1"/>
    <col min="5893" max="5893" width="8.140625" hidden="1"/>
    <col min="5894" max="5894" width="9.7109375" hidden="1"/>
    <col min="5895" max="5895" width="11.5703125" hidden="1"/>
    <col min="5896" max="5896" width="12.7109375" hidden="1"/>
    <col min="5897" max="5897" width="12.42578125" hidden="1"/>
    <col min="5898" max="5898" width="4.140625" hidden="1"/>
    <col min="5899" max="6144" width="9.140625" hidden="1"/>
    <col min="6145" max="6145" width="2.28515625" hidden="1"/>
    <col min="6146" max="6146" width="14.85546875" hidden="1"/>
    <col min="6147" max="6147" width="16.42578125" hidden="1"/>
    <col min="6148" max="6148" width="7.42578125" hidden="1"/>
    <col min="6149" max="6149" width="8.140625" hidden="1"/>
    <col min="6150" max="6150" width="9.7109375" hidden="1"/>
    <col min="6151" max="6151" width="11.5703125" hidden="1"/>
    <col min="6152" max="6152" width="12.7109375" hidden="1"/>
    <col min="6153" max="6153" width="12.42578125" hidden="1"/>
    <col min="6154" max="6154" width="4.140625" hidden="1"/>
    <col min="6155" max="6400" width="9.140625" hidden="1"/>
    <col min="6401" max="6401" width="2.28515625" hidden="1"/>
    <col min="6402" max="6402" width="14.85546875" hidden="1"/>
    <col min="6403" max="6403" width="16.42578125" hidden="1"/>
    <col min="6404" max="6404" width="7.42578125" hidden="1"/>
    <col min="6405" max="6405" width="8.140625" hidden="1"/>
    <col min="6406" max="6406" width="9.7109375" hidden="1"/>
    <col min="6407" max="6407" width="11.5703125" hidden="1"/>
    <col min="6408" max="6408" width="12.7109375" hidden="1"/>
    <col min="6409" max="6409" width="12.42578125" hidden="1"/>
    <col min="6410" max="6410" width="4.140625" hidden="1"/>
    <col min="6411" max="6656" width="9.140625" hidden="1"/>
    <col min="6657" max="6657" width="2.28515625" hidden="1"/>
    <col min="6658" max="6658" width="14.85546875" hidden="1"/>
    <col min="6659" max="6659" width="16.42578125" hidden="1"/>
    <col min="6660" max="6660" width="7.42578125" hidden="1"/>
    <col min="6661" max="6661" width="8.140625" hidden="1"/>
    <col min="6662" max="6662" width="9.7109375" hidden="1"/>
    <col min="6663" max="6663" width="11.5703125" hidden="1"/>
    <col min="6664" max="6664" width="12.7109375" hidden="1"/>
    <col min="6665" max="6665" width="12.42578125" hidden="1"/>
    <col min="6666" max="6666" width="4.140625" hidden="1"/>
    <col min="6667" max="6912" width="9.140625" hidden="1"/>
    <col min="6913" max="6913" width="2.28515625" hidden="1"/>
    <col min="6914" max="6914" width="14.85546875" hidden="1"/>
    <col min="6915" max="6915" width="16.42578125" hidden="1"/>
    <col min="6916" max="6916" width="7.42578125" hidden="1"/>
    <col min="6917" max="6917" width="8.140625" hidden="1"/>
    <col min="6918" max="6918" width="9.7109375" hidden="1"/>
    <col min="6919" max="6919" width="11.5703125" hidden="1"/>
    <col min="6920" max="6920" width="12.7109375" hidden="1"/>
    <col min="6921" max="6921" width="12.42578125" hidden="1"/>
    <col min="6922" max="6922" width="4.140625" hidden="1"/>
    <col min="6923" max="7168" width="9.140625" hidden="1"/>
    <col min="7169" max="7169" width="2.28515625" hidden="1"/>
    <col min="7170" max="7170" width="14.85546875" hidden="1"/>
    <col min="7171" max="7171" width="16.42578125" hidden="1"/>
    <col min="7172" max="7172" width="7.42578125" hidden="1"/>
    <col min="7173" max="7173" width="8.140625" hidden="1"/>
    <col min="7174" max="7174" width="9.7109375" hidden="1"/>
    <col min="7175" max="7175" width="11.5703125" hidden="1"/>
    <col min="7176" max="7176" width="12.7109375" hidden="1"/>
    <col min="7177" max="7177" width="12.42578125" hidden="1"/>
    <col min="7178" max="7178" width="4.140625" hidden="1"/>
    <col min="7179" max="7424" width="9.140625" hidden="1"/>
    <col min="7425" max="7425" width="2.28515625" hidden="1"/>
    <col min="7426" max="7426" width="14.85546875" hidden="1"/>
    <col min="7427" max="7427" width="16.42578125" hidden="1"/>
    <col min="7428" max="7428" width="7.42578125" hidden="1"/>
    <col min="7429" max="7429" width="8.140625" hidden="1"/>
    <col min="7430" max="7430" width="9.7109375" hidden="1"/>
    <col min="7431" max="7431" width="11.5703125" hidden="1"/>
    <col min="7432" max="7432" width="12.7109375" hidden="1"/>
    <col min="7433" max="7433" width="12.42578125" hidden="1"/>
    <col min="7434" max="7434" width="4.140625" hidden="1"/>
    <col min="7435" max="7680" width="9.140625" hidden="1"/>
    <col min="7681" max="7681" width="2.28515625" hidden="1"/>
    <col min="7682" max="7682" width="14.85546875" hidden="1"/>
    <col min="7683" max="7683" width="16.42578125" hidden="1"/>
    <col min="7684" max="7684" width="7.42578125" hidden="1"/>
    <col min="7685" max="7685" width="8.140625" hidden="1"/>
    <col min="7686" max="7686" width="9.7109375" hidden="1"/>
    <col min="7687" max="7687" width="11.5703125" hidden="1"/>
    <col min="7688" max="7688" width="12.7109375" hidden="1"/>
    <col min="7689" max="7689" width="12.42578125" hidden="1"/>
    <col min="7690" max="7690" width="4.140625" hidden="1"/>
    <col min="7691" max="7936" width="9.140625" hidden="1"/>
    <col min="7937" max="7937" width="2.28515625" hidden="1"/>
    <col min="7938" max="7938" width="14.85546875" hidden="1"/>
    <col min="7939" max="7939" width="16.42578125" hidden="1"/>
    <col min="7940" max="7940" width="7.42578125" hidden="1"/>
    <col min="7941" max="7941" width="8.140625" hidden="1"/>
    <col min="7942" max="7942" width="9.7109375" hidden="1"/>
    <col min="7943" max="7943" width="11.5703125" hidden="1"/>
    <col min="7944" max="7944" width="12.7109375" hidden="1"/>
    <col min="7945" max="7945" width="12.42578125" hidden="1"/>
    <col min="7946" max="7946" width="4.140625" hidden="1"/>
    <col min="7947" max="8192" width="9.140625" hidden="1"/>
    <col min="8193" max="8193" width="2.28515625" hidden="1"/>
    <col min="8194" max="8194" width="14.85546875" hidden="1"/>
    <col min="8195" max="8195" width="16.42578125" hidden="1"/>
    <col min="8196" max="8196" width="7.42578125" hidden="1"/>
    <col min="8197" max="8197" width="8.140625" hidden="1"/>
    <col min="8198" max="8198" width="9.7109375" hidden="1"/>
    <col min="8199" max="8199" width="11.5703125" hidden="1"/>
    <col min="8200" max="8200" width="12.7109375" hidden="1"/>
    <col min="8201" max="8201" width="12.42578125" hidden="1"/>
    <col min="8202" max="8202" width="4.140625" hidden="1"/>
    <col min="8203" max="8448" width="9.140625" hidden="1"/>
    <col min="8449" max="8449" width="2.28515625" hidden="1"/>
    <col min="8450" max="8450" width="14.85546875" hidden="1"/>
    <col min="8451" max="8451" width="16.42578125" hidden="1"/>
    <col min="8452" max="8452" width="7.42578125" hidden="1"/>
    <col min="8453" max="8453" width="8.140625" hidden="1"/>
    <col min="8454" max="8454" width="9.7109375" hidden="1"/>
    <col min="8455" max="8455" width="11.5703125" hidden="1"/>
    <col min="8456" max="8456" width="12.7109375" hidden="1"/>
    <col min="8457" max="8457" width="12.42578125" hidden="1"/>
    <col min="8458" max="8458" width="4.140625" hidden="1"/>
    <col min="8459" max="8704" width="9.140625" hidden="1"/>
    <col min="8705" max="8705" width="2.28515625" hidden="1"/>
    <col min="8706" max="8706" width="14.85546875" hidden="1"/>
    <col min="8707" max="8707" width="16.42578125" hidden="1"/>
    <col min="8708" max="8708" width="7.42578125" hidden="1"/>
    <col min="8709" max="8709" width="8.140625" hidden="1"/>
    <col min="8710" max="8710" width="9.7109375" hidden="1"/>
    <col min="8711" max="8711" width="11.5703125" hidden="1"/>
    <col min="8712" max="8712" width="12.7109375" hidden="1"/>
    <col min="8713" max="8713" width="12.42578125" hidden="1"/>
    <col min="8714" max="8714" width="4.140625" hidden="1"/>
    <col min="8715" max="8960" width="9.140625" hidden="1"/>
    <col min="8961" max="8961" width="2.28515625" hidden="1"/>
    <col min="8962" max="8962" width="14.85546875" hidden="1"/>
    <col min="8963" max="8963" width="16.42578125" hidden="1"/>
    <col min="8964" max="8964" width="7.42578125" hidden="1"/>
    <col min="8965" max="8965" width="8.140625" hidden="1"/>
    <col min="8966" max="8966" width="9.7109375" hidden="1"/>
    <col min="8967" max="8967" width="11.5703125" hidden="1"/>
    <col min="8968" max="8968" width="12.7109375" hidden="1"/>
    <col min="8969" max="8969" width="12.42578125" hidden="1"/>
    <col min="8970" max="8970" width="4.140625" hidden="1"/>
    <col min="8971" max="9216" width="9.140625" hidden="1"/>
    <col min="9217" max="9217" width="2.28515625" hidden="1"/>
    <col min="9218" max="9218" width="14.85546875" hidden="1"/>
    <col min="9219" max="9219" width="16.42578125" hidden="1"/>
    <col min="9220" max="9220" width="7.42578125" hidden="1"/>
    <col min="9221" max="9221" width="8.140625" hidden="1"/>
    <col min="9222" max="9222" width="9.7109375" hidden="1"/>
    <col min="9223" max="9223" width="11.5703125" hidden="1"/>
    <col min="9224" max="9224" width="12.7109375" hidden="1"/>
    <col min="9225" max="9225" width="12.42578125" hidden="1"/>
    <col min="9226" max="9226" width="4.140625" hidden="1"/>
    <col min="9227" max="9472" width="9.140625" hidden="1"/>
    <col min="9473" max="9473" width="2.28515625" hidden="1"/>
    <col min="9474" max="9474" width="14.85546875" hidden="1"/>
    <col min="9475" max="9475" width="16.42578125" hidden="1"/>
    <col min="9476" max="9476" width="7.42578125" hidden="1"/>
    <col min="9477" max="9477" width="8.140625" hidden="1"/>
    <col min="9478" max="9478" width="9.7109375" hidden="1"/>
    <col min="9479" max="9479" width="11.5703125" hidden="1"/>
    <col min="9480" max="9480" width="12.7109375" hidden="1"/>
    <col min="9481" max="9481" width="12.42578125" hidden="1"/>
    <col min="9482" max="9482" width="4.140625" hidden="1"/>
    <col min="9483" max="9728" width="9.140625" hidden="1"/>
    <col min="9729" max="9729" width="2.28515625" hidden="1"/>
    <col min="9730" max="9730" width="14.85546875" hidden="1"/>
    <col min="9731" max="9731" width="16.42578125" hidden="1"/>
    <col min="9732" max="9732" width="7.42578125" hidden="1"/>
    <col min="9733" max="9733" width="8.140625" hidden="1"/>
    <col min="9734" max="9734" width="9.7109375" hidden="1"/>
    <col min="9735" max="9735" width="11.5703125" hidden="1"/>
    <col min="9736" max="9736" width="12.7109375" hidden="1"/>
    <col min="9737" max="9737" width="12.42578125" hidden="1"/>
    <col min="9738" max="9738" width="4.140625" hidden="1"/>
    <col min="9739" max="9984" width="9.140625" hidden="1"/>
    <col min="9985" max="9985" width="2.28515625" hidden="1"/>
    <col min="9986" max="9986" width="14.85546875" hidden="1"/>
    <col min="9987" max="9987" width="16.42578125" hidden="1"/>
    <col min="9988" max="9988" width="7.42578125" hidden="1"/>
    <col min="9989" max="9989" width="8.140625" hidden="1"/>
    <col min="9990" max="9990" width="9.7109375" hidden="1"/>
    <col min="9991" max="9991" width="11.5703125" hidden="1"/>
    <col min="9992" max="9992" width="12.7109375" hidden="1"/>
    <col min="9993" max="9993" width="12.42578125" hidden="1"/>
    <col min="9994" max="9994" width="4.140625" hidden="1"/>
    <col min="9995" max="10240" width="9.140625" hidden="1"/>
    <col min="10241" max="10241" width="2.28515625" hidden="1"/>
    <col min="10242" max="10242" width="14.85546875" hidden="1"/>
    <col min="10243" max="10243" width="16.42578125" hidden="1"/>
    <col min="10244" max="10244" width="7.42578125" hidden="1"/>
    <col min="10245" max="10245" width="8.140625" hidden="1"/>
    <col min="10246" max="10246" width="9.7109375" hidden="1"/>
    <col min="10247" max="10247" width="11.5703125" hidden="1"/>
    <col min="10248" max="10248" width="12.7109375" hidden="1"/>
    <col min="10249" max="10249" width="12.42578125" hidden="1"/>
    <col min="10250" max="10250" width="4.140625" hidden="1"/>
    <col min="10251" max="10496" width="9.140625" hidden="1"/>
    <col min="10497" max="10497" width="2.28515625" hidden="1"/>
    <col min="10498" max="10498" width="14.85546875" hidden="1"/>
    <col min="10499" max="10499" width="16.42578125" hidden="1"/>
    <col min="10500" max="10500" width="7.42578125" hidden="1"/>
    <col min="10501" max="10501" width="8.140625" hidden="1"/>
    <col min="10502" max="10502" width="9.7109375" hidden="1"/>
    <col min="10503" max="10503" width="11.5703125" hidden="1"/>
    <col min="10504" max="10504" width="12.7109375" hidden="1"/>
    <col min="10505" max="10505" width="12.42578125" hidden="1"/>
    <col min="10506" max="10506" width="4.140625" hidden="1"/>
    <col min="10507" max="10752" width="9.140625" hidden="1"/>
    <col min="10753" max="10753" width="2.28515625" hidden="1"/>
    <col min="10754" max="10754" width="14.85546875" hidden="1"/>
    <col min="10755" max="10755" width="16.42578125" hidden="1"/>
    <col min="10756" max="10756" width="7.42578125" hidden="1"/>
    <col min="10757" max="10757" width="8.140625" hidden="1"/>
    <col min="10758" max="10758" width="9.7109375" hidden="1"/>
    <col min="10759" max="10759" width="11.5703125" hidden="1"/>
    <col min="10760" max="10760" width="12.7109375" hidden="1"/>
    <col min="10761" max="10761" width="12.42578125" hidden="1"/>
    <col min="10762" max="10762" width="4.140625" hidden="1"/>
    <col min="10763" max="11008" width="9.140625" hidden="1"/>
    <col min="11009" max="11009" width="2.28515625" hidden="1"/>
    <col min="11010" max="11010" width="14.85546875" hidden="1"/>
    <col min="11011" max="11011" width="16.42578125" hidden="1"/>
    <col min="11012" max="11012" width="7.42578125" hidden="1"/>
    <col min="11013" max="11013" width="8.140625" hidden="1"/>
    <col min="11014" max="11014" width="9.7109375" hidden="1"/>
    <col min="11015" max="11015" width="11.5703125" hidden="1"/>
    <col min="11016" max="11016" width="12.7109375" hidden="1"/>
    <col min="11017" max="11017" width="12.42578125" hidden="1"/>
    <col min="11018" max="11018" width="4.140625" hidden="1"/>
    <col min="11019" max="11264" width="9.140625" hidden="1"/>
    <col min="11265" max="11265" width="2.28515625" hidden="1"/>
    <col min="11266" max="11266" width="14.85546875" hidden="1"/>
    <col min="11267" max="11267" width="16.42578125" hidden="1"/>
    <col min="11268" max="11268" width="7.42578125" hidden="1"/>
    <col min="11269" max="11269" width="8.140625" hidden="1"/>
    <col min="11270" max="11270" width="9.7109375" hidden="1"/>
    <col min="11271" max="11271" width="11.5703125" hidden="1"/>
    <col min="11272" max="11272" width="12.7109375" hidden="1"/>
    <col min="11273" max="11273" width="12.42578125" hidden="1"/>
    <col min="11274" max="11274" width="4.140625" hidden="1"/>
    <col min="11275" max="11520" width="9.140625" hidden="1"/>
    <col min="11521" max="11521" width="2.28515625" hidden="1"/>
    <col min="11522" max="11522" width="14.85546875" hidden="1"/>
    <col min="11523" max="11523" width="16.42578125" hidden="1"/>
    <col min="11524" max="11524" width="7.42578125" hidden="1"/>
    <col min="11525" max="11525" width="8.140625" hidden="1"/>
    <col min="11526" max="11526" width="9.7109375" hidden="1"/>
    <col min="11527" max="11527" width="11.5703125" hidden="1"/>
    <col min="11528" max="11528" width="12.7109375" hidden="1"/>
    <col min="11529" max="11529" width="12.42578125" hidden="1"/>
    <col min="11530" max="11530" width="4.140625" hidden="1"/>
    <col min="11531" max="11776" width="9.140625" hidden="1"/>
    <col min="11777" max="11777" width="2.28515625" hidden="1"/>
    <col min="11778" max="11778" width="14.85546875" hidden="1"/>
    <col min="11779" max="11779" width="16.42578125" hidden="1"/>
    <col min="11780" max="11780" width="7.42578125" hidden="1"/>
    <col min="11781" max="11781" width="8.140625" hidden="1"/>
    <col min="11782" max="11782" width="9.7109375" hidden="1"/>
    <col min="11783" max="11783" width="11.5703125" hidden="1"/>
    <col min="11784" max="11784" width="12.7109375" hidden="1"/>
    <col min="11785" max="11785" width="12.42578125" hidden="1"/>
    <col min="11786" max="11786" width="4.140625" hidden="1"/>
    <col min="11787" max="12032" width="9.140625" hidden="1"/>
    <col min="12033" max="12033" width="2.28515625" hidden="1"/>
    <col min="12034" max="12034" width="14.85546875" hidden="1"/>
    <col min="12035" max="12035" width="16.42578125" hidden="1"/>
    <col min="12036" max="12036" width="7.42578125" hidden="1"/>
    <col min="12037" max="12037" width="8.140625" hidden="1"/>
    <col min="12038" max="12038" width="9.7109375" hidden="1"/>
    <col min="12039" max="12039" width="11.5703125" hidden="1"/>
    <col min="12040" max="12040" width="12.7109375" hidden="1"/>
    <col min="12041" max="12041" width="12.42578125" hidden="1"/>
    <col min="12042" max="12042" width="4.140625" hidden="1"/>
    <col min="12043" max="12288" width="9.140625" hidden="1"/>
    <col min="12289" max="12289" width="2.28515625" hidden="1"/>
    <col min="12290" max="12290" width="14.85546875" hidden="1"/>
    <col min="12291" max="12291" width="16.42578125" hidden="1"/>
    <col min="12292" max="12292" width="7.42578125" hidden="1"/>
    <col min="12293" max="12293" width="8.140625" hidden="1"/>
    <col min="12294" max="12294" width="9.7109375" hidden="1"/>
    <col min="12295" max="12295" width="11.5703125" hidden="1"/>
    <col min="12296" max="12296" width="12.7109375" hidden="1"/>
    <col min="12297" max="12297" width="12.42578125" hidden="1"/>
    <col min="12298" max="12298" width="4.140625" hidden="1"/>
    <col min="12299" max="12544" width="9.140625" hidden="1"/>
    <col min="12545" max="12545" width="2.28515625" hidden="1"/>
    <col min="12546" max="12546" width="14.85546875" hidden="1"/>
    <col min="12547" max="12547" width="16.42578125" hidden="1"/>
    <col min="12548" max="12548" width="7.42578125" hidden="1"/>
    <col min="12549" max="12549" width="8.140625" hidden="1"/>
    <col min="12550" max="12550" width="9.7109375" hidden="1"/>
    <col min="12551" max="12551" width="11.5703125" hidden="1"/>
    <col min="12552" max="12552" width="12.7109375" hidden="1"/>
    <col min="12553" max="12553" width="12.42578125" hidden="1"/>
    <col min="12554" max="12554" width="4.140625" hidden="1"/>
    <col min="12555" max="12800" width="9.140625" hidden="1"/>
    <col min="12801" max="12801" width="2.28515625" hidden="1"/>
    <col min="12802" max="12802" width="14.85546875" hidden="1"/>
    <col min="12803" max="12803" width="16.42578125" hidden="1"/>
    <col min="12804" max="12804" width="7.42578125" hidden="1"/>
    <col min="12805" max="12805" width="8.140625" hidden="1"/>
    <col min="12806" max="12806" width="9.7109375" hidden="1"/>
    <col min="12807" max="12807" width="11.5703125" hidden="1"/>
    <col min="12808" max="12808" width="12.7109375" hidden="1"/>
    <col min="12809" max="12809" width="12.42578125" hidden="1"/>
    <col min="12810" max="12810" width="4.140625" hidden="1"/>
    <col min="12811" max="13056" width="9.140625" hidden="1"/>
    <col min="13057" max="13057" width="2.28515625" hidden="1"/>
    <col min="13058" max="13058" width="14.85546875" hidden="1"/>
    <col min="13059" max="13059" width="16.42578125" hidden="1"/>
    <col min="13060" max="13060" width="7.42578125" hidden="1"/>
    <col min="13061" max="13061" width="8.140625" hidden="1"/>
    <col min="13062" max="13062" width="9.7109375" hidden="1"/>
    <col min="13063" max="13063" width="11.5703125" hidden="1"/>
    <col min="13064" max="13064" width="12.7109375" hidden="1"/>
    <col min="13065" max="13065" width="12.42578125" hidden="1"/>
    <col min="13066" max="13066" width="4.140625" hidden="1"/>
    <col min="13067" max="13312" width="9.140625" hidden="1"/>
    <col min="13313" max="13313" width="2.28515625" hidden="1"/>
    <col min="13314" max="13314" width="14.85546875" hidden="1"/>
    <col min="13315" max="13315" width="16.42578125" hidden="1"/>
    <col min="13316" max="13316" width="7.42578125" hidden="1"/>
    <col min="13317" max="13317" width="8.140625" hidden="1"/>
    <col min="13318" max="13318" width="9.7109375" hidden="1"/>
    <col min="13319" max="13319" width="11.5703125" hidden="1"/>
    <col min="13320" max="13320" width="12.7109375" hidden="1"/>
    <col min="13321" max="13321" width="12.42578125" hidden="1"/>
    <col min="13322" max="13322" width="4.140625" hidden="1"/>
    <col min="13323" max="13568" width="9.140625" hidden="1"/>
    <col min="13569" max="13569" width="2.28515625" hidden="1"/>
    <col min="13570" max="13570" width="14.85546875" hidden="1"/>
    <col min="13571" max="13571" width="16.42578125" hidden="1"/>
    <col min="13572" max="13572" width="7.42578125" hidden="1"/>
    <col min="13573" max="13573" width="8.140625" hidden="1"/>
    <col min="13574" max="13574" width="9.7109375" hidden="1"/>
    <col min="13575" max="13575" width="11.5703125" hidden="1"/>
    <col min="13576" max="13576" width="12.7109375" hidden="1"/>
    <col min="13577" max="13577" width="12.42578125" hidden="1"/>
    <col min="13578" max="13578" width="4.140625" hidden="1"/>
    <col min="13579" max="13824" width="9.140625" hidden="1"/>
    <col min="13825" max="13825" width="2.28515625" hidden="1"/>
    <col min="13826" max="13826" width="14.85546875" hidden="1"/>
    <col min="13827" max="13827" width="16.42578125" hidden="1"/>
    <col min="13828" max="13828" width="7.42578125" hidden="1"/>
    <col min="13829" max="13829" width="8.140625" hidden="1"/>
    <col min="13830" max="13830" width="9.7109375" hidden="1"/>
    <col min="13831" max="13831" width="11.5703125" hidden="1"/>
    <col min="13832" max="13832" width="12.7109375" hidden="1"/>
    <col min="13833" max="13833" width="12.42578125" hidden="1"/>
    <col min="13834" max="13834" width="4.140625" hidden="1"/>
    <col min="13835" max="14080" width="9.140625" hidden="1"/>
    <col min="14081" max="14081" width="2.28515625" hidden="1"/>
    <col min="14082" max="14082" width="14.85546875" hidden="1"/>
    <col min="14083" max="14083" width="16.42578125" hidden="1"/>
    <col min="14084" max="14084" width="7.42578125" hidden="1"/>
    <col min="14085" max="14085" width="8.140625" hidden="1"/>
    <col min="14086" max="14086" width="9.7109375" hidden="1"/>
    <col min="14087" max="14087" width="11.5703125" hidden="1"/>
    <col min="14088" max="14088" width="12.7109375" hidden="1"/>
    <col min="14089" max="14089" width="12.42578125" hidden="1"/>
    <col min="14090" max="14090" width="4.140625" hidden="1"/>
    <col min="14091" max="14336" width="9.140625" hidden="1"/>
    <col min="14337" max="14337" width="2.28515625" hidden="1"/>
    <col min="14338" max="14338" width="14.85546875" hidden="1"/>
    <col min="14339" max="14339" width="16.42578125" hidden="1"/>
    <col min="14340" max="14340" width="7.42578125" hidden="1"/>
    <col min="14341" max="14341" width="8.140625" hidden="1"/>
    <col min="14342" max="14342" width="9.7109375" hidden="1"/>
    <col min="14343" max="14343" width="11.5703125" hidden="1"/>
    <col min="14344" max="14344" width="12.7109375" hidden="1"/>
    <col min="14345" max="14345" width="12.42578125" hidden="1"/>
    <col min="14346" max="14346" width="4.140625" hidden="1"/>
    <col min="14347" max="14592" width="9.140625" hidden="1"/>
    <col min="14593" max="14593" width="2.28515625" hidden="1"/>
    <col min="14594" max="14594" width="14.85546875" hidden="1"/>
    <col min="14595" max="14595" width="16.42578125" hidden="1"/>
    <col min="14596" max="14596" width="7.42578125" hidden="1"/>
    <col min="14597" max="14597" width="8.140625" hidden="1"/>
    <col min="14598" max="14598" width="9.7109375" hidden="1"/>
    <col min="14599" max="14599" width="11.5703125" hidden="1"/>
    <col min="14600" max="14600" width="12.7109375" hidden="1"/>
    <col min="14601" max="14601" width="12.42578125" hidden="1"/>
    <col min="14602" max="14602" width="4.140625" hidden="1"/>
    <col min="14603" max="14848" width="9.140625" hidden="1"/>
    <col min="14849" max="14849" width="2.28515625" hidden="1"/>
    <col min="14850" max="14850" width="14.85546875" hidden="1"/>
    <col min="14851" max="14851" width="16.42578125" hidden="1"/>
    <col min="14852" max="14852" width="7.42578125" hidden="1"/>
    <col min="14853" max="14853" width="8.140625" hidden="1"/>
    <col min="14854" max="14854" width="9.7109375" hidden="1"/>
    <col min="14855" max="14855" width="11.5703125" hidden="1"/>
    <col min="14856" max="14856" width="12.7109375" hidden="1"/>
    <col min="14857" max="14857" width="12.42578125" hidden="1"/>
    <col min="14858" max="14858" width="4.140625" hidden="1"/>
    <col min="14859" max="15104" width="9.140625" hidden="1"/>
    <col min="15105" max="15105" width="2.28515625" hidden="1"/>
    <col min="15106" max="15106" width="14.85546875" hidden="1"/>
    <col min="15107" max="15107" width="16.42578125" hidden="1"/>
    <col min="15108" max="15108" width="7.42578125" hidden="1"/>
    <col min="15109" max="15109" width="8.140625" hidden="1"/>
    <col min="15110" max="15110" width="9.7109375" hidden="1"/>
    <col min="15111" max="15111" width="11.5703125" hidden="1"/>
    <col min="15112" max="15112" width="12.7109375" hidden="1"/>
    <col min="15113" max="15113" width="12.42578125" hidden="1"/>
    <col min="15114" max="15114" width="4.140625" hidden="1"/>
    <col min="15115" max="15360" width="9.140625" hidden="1"/>
    <col min="15361" max="15361" width="2.28515625" hidden="1"/>
    <col min="15362" max="15362" width="14.85546875" hidden="1"/>
    <col min="15363" max="15363" width="16.42578125" hidden="1"/>
    <col min="15364" max="15364" width="7.42578125" hidden="1"/>
    <col min="15365" max="15365" width="8.140625" hidden="1"/>
    <col min="15366" max="15366" width="9.7109375" hidden="1"/>
    <col min="15367" max="15367" width="11.5703125" hidden="1"/>
    <col min="15368" max="15368" width="12.7109375" hidden="1"/>
    <col min="15369" max="15369" width="12.42578125" hidden="1"/>
    <col min="15370" max="15370" width="4.140625" hidden="1"/>
    <col min="15371" max="15616" width="9.140625" hidden="1"/>
    <col min="15617" max="15617" width="2.28515625" hidden="1"/>
    <col min="15618" max="15618" width="14.85546875" hidden="1"/>
    <col min="15619" max="15619" width="16.42578125" hidden="1"/>
    <col min="15620" max="15620" width="7.42578125" hidden="1"/>
    <col min="15621" max="15621" width="8.140625" hidden="1"/>
    <col min="15622" max="15622" width="9.7109375" hidden="1"/>
    <col min="15623" max="15623" width="11.5703125" hidden="1"/>
    <col min="15624" max="15624" width="12.7109375" hidden="1"/>
    <col min="15625" max="15625" width="12.42578125" hidden="1"/>
    <col min="15626" max="15626" width="4.140625" hidden="1"/>
    <col min="15627" max="15872" width="9.140625" hidden="1"/>
    <col min="15873" max="15873" width="2.28515625" hidden="1"/>
    <col min="15874" max="15874" width="14.85546875" hidden="1"/>
    <col min="15875" max="15875" width="16.42578125" hidden="1"/>
    <col min="15876" max="15876" width="7.42578125" hidden="1"/>
    <col min="15877" max="15877" width="8.140625" hidden="1"/>
    <col min="15878" max="15878" width="9.7109375" hidden="1"/>
    <col min="15879" max="15879" width="11.5703125" hidden="1"/>
    <col min="15880" max="15880" width="12.7109375" hidden="1"/>
    <col min="15881" max="15881" width="12.42578125" hidden="1"/>
    <col min="15882" max="15882" width="4.140625" hidden="1"/>
    <col min="15883" max="16128" width="9.140625" hidden="1"/>
    <col min="16129" max="16129" width="2.28515625" hidden="1"/>
    <col min="16130" max="16130" width="14.85546875" hidden="1"/>
    <col min="16131" max="16131" width="16.42578125" hidden="1"/>
    <col min="16132" max="16132" width="7.42578125" hidden="1"/>
    <col min="16133" max="16133" width="8.140625" hidden="1"/>
    <col min="16134" max="16134" width="9.7109375" hidden="1"/>
    <col min="16135" max="16135" width="11.5703125" hidden="1"/>
    <col min="16136" max="16136" width="12.7109375" hidden="1"/>
    <col min="16137" max="16137" width="12.42578125" hidden="1"/>
    <col min="16138" max="16138" width="4.140625" hidden="1"/>
    <col min="16139" max="16383" width="9.140625" hidden="1"/>
    <col min="16384" max="16384" width="8.85546875" hidden="1" customWidth="1"/>
  </cols>
  <sheetData>
    <row r="1" spans="1:11 16384:16384" ht="25.5" x14ac:dyDescent="0.35">
      <c r="A1" s="271" t="s">
        <v>23</v>
      </c>
      <c r="B1" s="271"/>
      <c r="C1" s="271"/>
      <c r="D1" s="271"/>
      <c r="E1" s="271"/>
      <c r="F1" s="271"/>
      <c r="G1" s="271"/>
      <c r="H1" s="271"/>
      <c r="I1" s="271"/>
      <c r="J1" s="271"/>
    </row>
    <row r="2" spans="1:11 16384:16384" ht="76.5" x14ac:dyDescent="1.1000000000000001">
      <c r="A2" s="272" t="s">
        <v>24</v>
      </c>
      <c r="B2" s="272"/>
      <c r="C2" s="272"/>
      <c r="D2" s="272"/>
      <c r="E2" s="272"/>
      <c r="F2" s="272"/>
      <c r="G2" s="272"/>
      <c r="H2" s="272"/>
      <c r="I2" s="272"/>
      <c r="J2" s="272"/>
      <c r="XFD2" s="30" t="s">
        <v>27</v>
      </c>
    </row>
    <row r="3" spans="1:11 16384:16384" x14ac:dyDescent="0.25">
      <c r="A3" s="7"/>
      <c r="B3" s="274" t="str">
        <f>CONCATENATE("Lotto n° ",MODULO!E85)</f>
        <v xml:space="preserve">Lotto n° </v>
      </c>
      <c r="C3" s="274"/>
      <c r="D3" s="274"/>
      <c r="E3" s="274"/>
      <c r="F3" s="274"/>
      <c r="G3" s="274"/>
      <c r="H3" s="274"/>
      <c r="I3" s="274"/>
      <c r="J3" s="7"/>
    </row>
    <row r="4" spans="1:11 16384:16384" x14ac:dyDescent="0.25">
      <c r="A4"/>
      <c r="B4" s="11" t="s">
        <v>15</v>
      </c>
      <c r="C4" s="101">
        <f>MODULO!F85</f>
        <v>0</v>
      </c>
      <c r="D4" s="273" t="s">
        <v>45</v>
      </c>
      <c r="E4" s="273"/>
      <c r="F4" s="273"/>
      <c r="G4" s="273" t="s">
        <v>16</v>
      </c>
      <c r="H4" s="273"/>
      <c r="I4" s="273"/>
      <c r="J4" s="1"/>
      <c r="K4" s="1"/>
    </row>
    <row r="5" spans="1:11 16384:16384" x14ac:dyDescent="0.25">
      <c r="A5"/>
      <c r="B5" s="12" t="s">
        <v>17</v>
      </c>
      <c r="C5" s="12" t="s">
        <v>18</v>
      </c>
      <c r="D5" s="13" t="s">
        <v>19</v>
      </c>
      <c r="E5" s="13" t="s">
        <v>20</v>
      </c>
      <c r="F5" s="13" t="s">
        <v>21</v>
      </c>
      <c r="G5" s="13" t="s">
        <v>19</v>
      </c>
      <c r="H5" s="13" t="s">
        <v>20</v>
      </c>
      <c r="I5" s="14">
        <v>0.5</v>
      </c>
    </row>
    <row r="6" spans="1:11 16384:16384" x14ac:dyDescent="0.25">
      <c r="A6"/>
      <c r="B6" s="99">
        <v>0</v>
      </c>
      <c r="C6" s="99">
        <v>5164.57</v>
      </c>
      <c r="D6" s="26">
        <v>1.0264</v>
      </c>
      <c r="E6" s="26">
        <v>2.0684999999999998</v>
      </c>
      <c r="F6" s="27">
        <f>(D6+E6)/2</f>
        <v>1.54745</v>
      </c>
      <c r="G6" s="93">
        <f>IF(C$4&gt;B6,IF(C$4&lt;=C6,(C$4-B6)*D6/100,(C6-B6)*D6/100),0)</f>
        <v>0</v>
      </c>
      <c r="H6" s="93">
        <f>IF(C$4&gt;B6,IF(C$4&lt;=C6,(C$4-B6)*E6/100,(C6-B6)*E6/100),0)</f>
        <v>0</v>
      </c>
      <c r="I6" s="94">
        <f t="shared" ref="I6:I12" si="0">IF(G6&lt;&gt;0,G6+(H6-G6)*$I$5,0)</f>
        <v>0</v>
      </c>
    </row>
    <row r="7" spans="1:11 16384:16384" x14ac:dyDescent="0.25">
      <c r="A7"/>
      <c r="B7" s="99">
        <v>5164.58</v>
      </c>
      <c r="C7" s="99">
        <v>10329.14</v>
      </c>
      <c r="D7" s="26">
        <v>0.93159999999999998</v>
      </c>
      <c r="E7" s="26">
        <v>1.879</v>
      </c>
      <c r="F7" s="27">
        <f t="shared" ref="F7:F12" si="1">(D7+E7)/2</f>
        <v>1.4053</v>
      </c>
      <c r="G7" s="93">
        <f t="shared" ref="G7:G12" si="2">IF(C$4&gt;B7,IF(C$4&lt;=C7,(C$4-B7)*D7/100,(C7-B7)*D7/100),0)</f>
        <v>0</v>
      </c>
      <c r="H7" s="93">
        <f t="shared" ref="H7:H12" si="3">IF(C$4&gt;B7,IF(C$4&lt;=C7,(C$4-B7)*E7/100,(C7-B7)*E7/100),0)</f>
        <v>0</v>
      </c>
      <c r="I7" s="94">
        <f t="shared" si="0"/>
        <v>0</v>
      </c>
    </row>
    <row r="8" spans="1:11 16384:16384" x14ac:dyDescent="0.25">
      <c r="A8"/>
      <c r="B8" s="99">
        <v>10329.15</v>
      </c>
      <c r="C8" s="99">
        <v>25822.84</v>
      </c>
      <c r="D8" s="26">
        <v>0.83689999999999998</v>
      </c>
      <c r="E8" s="26">
        <v>1.6895</v>
      </c>
      <c r="F8" s="27">
        <f t="shared" si="1"/>
        <v>1.2631999999999999</v>
      </c>
      <c r="G8" s="93">
        <f t="shared" si="2"/>
        <v>0</v>
      </c>
      <c r="H8" s="93">
        <f t="shared" si="3"/>
        <v>0</v>
      </c>
      <c r="I8" s="94">
        <f t="shared" si="0"/>
        <v>0</v>
      </c>
    </row>
    <row r="9" spans="1:11 16384:16384" x14ac:dyDescent="0.25">
      <c r="A9"/>
      <c r="B9" s="99">
        <v>25822.85</v>
      </c>
      <c r="C9" s="99">
        <v>51645.69</v>
      </c>
      <c r="D9" s="26">
        <v>0.56840000000000002</v>
      </c>
      <c r="E9" s="26">
        <v>1.1211</v>
      </c>
      <c r="F9" s="27">
        <f t="shared" si="1"/>
        <v>0.84475</v>
      </c>
      <c r="G9" s="93">
        <f t="shared" si="2"/>
        <v>0</v>
      </c>
      <c r="H9" s="93">
        <f t="shared" si="3"/>
        <v>0</v>
      </c>
      <c r="I9" s="94">
        <f t="shared" si="0"/>
        <v>0</v>
      </c>
    </row>
    <row r="10" spans="1:11 16384:16384" x14ac:dyDescent="0.25">
      <c r="A10"/>
      <c r="B10" s="99">
        <v>51645.7</v>
      </c>
      <c r="C10" s="99">
        <v>103291.38</v>
      </c>
      <c r="D10" s="26">
        <v>0.379</v>
      </c>
      <c r="E10" s="26">
        <v>0.75790000000000002</v>
      </c>
      <c r="F10" s="27">
        <f t="shared" si="1"/>
        <v>0.56845000000000001</v>
      </c>
      <c r="G10" s="93">
        <f t="shared" si="2"/>
        <v>0</v>
      </c>
      <c r="H10" s="93">
        <f t="shared" si="3"/>
        <v>0</v>
      </c>
      <c r="I10" s="94">
        <f t="shared" si="0"/>
        <v>0</v>
      </c>
    </row>
    <row r="11" spans="1:11 16384:16384" x14ac:dyDescent="0.25">
      <c r="A11"/>
      <c r="B11" s="99">
        <v>103291.39</v>
      </c>
      <c r="C11" s="99">
        <v>258228.45</v>
      </c>
      <c r="D11" s="26">
        <v>0.28420000000000001</v>
      </c>
      <c r="E11" s="26">
        <v>0.56840000000000002</v>
      </c>
      <c r="F11" s="27">
        <f t="shared" si="1"/>
        <v>0.42630000000000001</v>
      </c>
      <c r="G11" s="93">
        <f t="shared" si="2"/>
        <v>0</v>
      </c>
      <c r="H11" s="93">
        <f t="shared" si="3"/>
        <v>0</v>
      </c>
      <c r="I11" s="94">
        <f t="shared" si="0"/>
        <v>0</v>
      </c>
      <c r="J11" s="4"/>
      <c r="K11" s="4"/>
    </row>
    <row r="12" spans="1:11 16384:16384" x14ac:dyDescent="0.25">
      <c r="A12"/>
      <c r="B12" s="99">
        <v>258228.46</v>
      </c>
      <c r="C12" s="99">
        <v>516456.9</v>
      </c>
      <c r="D12" s="26">
        <v>4.7399999999999998E-2</v>
      </c>
      <c r="E12" s="26">
        <v>9.4700000000000006E-2</v>
      </c>
      <c r="F12" s="27">
        <f t="shared" si="1"/>
        <v>7.1050000000000002E-2</v>
      </c>
      <c r="G12" s="93">
        <f t="shared" si="2"/>
        <v>0</v>
      </c>
      <c r="H12" s="93">
        <f t="shared" si="3"/>
        <v>0</v>
      </c>
      <c r="I12" s="94">
        <f t="shared" si="0"/>
        <v>0</v>
      </c>
    </row>
    <row r="13" spans="1:11 16384:16384" x14ac:dyDescent="0.25">
      <c r="A13"/>
      <c r="B13" s="8"/>
      <c r="C13" s="8"/>
      <c r="D13" s="9"/>
      <c r="E13" s="9"/>
      <c r="F13" s="10" t="s">
        <v>22</v>
      </c>
      <c r="G13" s="95">
        <f>IF(SUM(G6:G12)&gt;145.12,SUM(G6:G12),145.12)</f>
        <v>145.12</v>
      </c>
      <c r="H13" s="95">
        <f>IF(SUM(H6:H12)&gt;145.12,SUM(H6:H12),145.12)</f>
        <v>145.12</v>
      </c>
      <c r="I13" s="95">
        <f>IF(SUM(I6:I12)&gt;145.12,SUM(I6:I12),145.12)</f>
        <v>145.12</v>
      </c>
    </row>
    <row r="14" spans="1:11 16384:16384" x14ac:dyDescent="0.25">
      <c r="A14" s="7"/>
      <c r="B14" s="269" t="str">
        <f>IF(MODULO!$E$86&lt;&gt;"",CONCATENATE("Lotto n° ",MODULO!$E$86),"")</f>
        <v/>
      </c>
      <c r="C14" s="269"/>
      <c r="D14" s="269"/>
      <c r="E14" s="269"/>
      <c r="F14" s="269"/>
      <c r="G14" s="269"/>
      <c r="H14" s="269"/>
      <c r="I14" s="269"/>
      <c r="J14" s="7"/>
    </row>
    <row r="15" spans="1:11 16384:16384" x14ac:dyDescent="0.25">
      <c r="B15" s="16" t="str">
        <f>IF(MODULO!$E$86&lt;&gt;"",$B$4,"")</f>
        <v/>
      </c>
      <c r="C15" s="102" t="str">
        <f>IF(MODULO!$E$86&lt;&gt;"",MODULO!$F$86,"")</f>
        <v/>
      </c>
      <c r="D15" s="270" t="str">
        <f>IF(MODULO!$E$86&lt;&gt;"",$D$4,"")</f>
        <v/>
      </c>
      <c r="E15" s="270"/>
      <c r="F15" s="270"/>
      <c r="G15" s="270" t="str">
        <f>IF(MODULO!$E$86&lt;&gt;"",$G$4,"")</f>
        <v/>
      </c>
      <c r="H15" s="270"/>
      <c r="I15" s="270"/>
    </row>
    <row r="16" spans="1:11 16384:16384" x14ac:dyDescent="0.25">
      <c r="B16" s="17" t="str">
        <f>IF(MODULO!$E$86&lt;&gt;"",$B$5,"")</f>
        <v/>
      </c>
      <c r="C16" s="17" t="str">
        <f>IF(MODULO!$E$86&lt;&gt;"",$C$5,"")</f>
        <v/>
      </c>
      <c r="D16" s="18" t="str">
        <f>IF(MODULO!$E$86&lt;&gt;"",$D$5,"")</f>
        <v/>
      </c>
      <c r="E16" s="18" t="str">
        <f>IF(MODULO!$E$86&lt;&gt;"",$E$5,"")</f>
        <v/>
      </c>
      <c r="F16" s="18" t="str">
        <f>IF(MODULO!$E$86&lt;&gt;"",$F$5,"")</f>
        <v/>
      </c>
      <c r="G16" s="18" t="str">
        <f>IF(MODULO!$E$86&lt;&gt;"",$G$5,"")</f>
        <v/>
      </c>
      <c r="H16" s="18" t="str">
        <f>IF(MODULO!$E$86&lt;&gt;"",$H$5,"")</f>
        <v/>
      </c>
      <c r="I16" s="19" t="str">
        <f>IF(MODULO!$E$86&lt;&gt;"",$I$5,"")</f>
        <v/>
      </c>
    </row>
    <row r="17" spans="1:10" x14ac:dyDescent="0.25">
      <c r="B17" s="100" t="str">
        <f>IF(MODULO!$E$86&lt;&gt;"",$B$6,"")</f>
        <v/>
      </c>
      <c r="C17" s="100" t="str">
        <f>IF(MODULO!$E$86&lt;&gt;"",$C$6,"")</f>
        <v/>
      </c>
      <c r="D17" s="28" t="str">
        <f>IF(MODULO!$E$86&lt;&gt;"",$D$6,"")</f>
        <v/>
      </c>
      <c r="E17" s="28" t="str">
        <f>IF(MODULO!$E$86&lt;&gt;"",$E$6,"")</f>
        <v/>
      </c>
      <c r="F17" s="29" t="str">
        <f>IF(MODULO!$E$86&lt;&gt;"",$F$6,"")</f>
        <v/>
      </c>
      <c r="G17" s="96" t="str">
        <f>IF(MODULO!$E$86&lt;&gt;"",IF(C$15&gt;B17,IF(C$15&lt;=C17,(C$15-B17)*D17/100,(C17-B17)*D17/100),0),"")</f>
        <v/>
      </c>
      <c r="H17" s="96" t="str">
        <f>IF(MODULO!$E$86&lt;&gt;"",IF(C$15&gt;B17,IF(C$15&lt;=C17,(C$15-B17)*E17/100,(C17-B17)*E17/100),0),"")</f>
        <v/>
      </c>
      <c r="I17" s="97" t="str">
        <f>IF(MODULO!$E$86&lt;&gt;"",IF(G17&lt;&gt;0,G17+(H17-G17)*0.5,0),"")</f>
        <v/>
      </c>
    </row>
    <row r="18" spans="1:10" x14ac:dyDescent="0.25">
      <c r="B18" s="100" t="str">
        <f>IF(MODULO!$E$86&lt;&gt;"",$B$7,"")</f>
        <v/>
      </c>
      <c r="C18" s="100" t="str">
        <f>IF(MODULO!$E$86&lt;&gt;"",$C$7,"")</f>
        <v/>
      </c>
      <c r="D18" s="28" t="str">
        <f>IF(MODULO!$E$86&lt;&gt;"",$D$7,"")</f>
        <v/>
      </c>
      <c r="E18" s="28" t="str">
        <f>IF(MODULO!$E$86&lt;&gt;"",$E$7,"")</f>
        <v/>
      </c>
      <c r="F18" s="29" t="str">
        <f>IF(MODULO!$E$86&lt;&gt;"",$F$7,"")</f>
        <v/>
      </c>
      <c r="G18" s="96" t="str">
        <f>IF(MODULO!$E$86&lt;&gt;"",IF(C$15&gt;B18,IF(C$15&lt;=C18,(C$15-B18)*D18/100,(C18-B18)*D18/100),0),"")</f>
        <v/>
      </c>
      <c r="H18" s="96" t="str">
        <f>IF(MODULO!$E$86&lt;&gt;"",IF(C$15&gt;B18,IF(C$15&lt;=C18,(C$15-B18)*E18/100,(C18-B18)*E18/100),0),"")</f>
        <v/>
      </c>
      <c r="I18" s="97" t="str">
        <f>IF(MODULO!$E$86&lt;&gt;"",IF(G18&lt;&gt;0,G18+(H18-G18)*0.5,0),"")</f>
        <v/>
      </c>
    </row>
    <row r="19" spans="1:10" x14ac:dyDescent="0.25">
      <c r="B19" s="100" t="str">
        <f>IF(MODULO!$E$86&lt;&gt;"",$B$8,"")</f>
        <v/>
      </c>
      <c r="C19" s="100" t="str">
        <f>IF(MODULO!$E$86&lt;&gt;"",$C$8,"")</f>
        <v/>
      </c>
      <c r="D19" s="28" t="str">
        <f>IF(MODULO!$E$86&lt;&gt;"",$D$8,"")</f>
        <v/>
      </c>
      <c r="E19" s="28" t="str">
        <f>IF(MODULO!$E$86&lt;&gt;"",$E$8,"")</f>
        <v/>
      </c>
      <c r="F19" s="29" t="str">
        <f>IF(MODULO!$E$86&lt;&gt;"",$F$8,"")</f>
        <v/>
      </c>
      <c r="G19" s="96" t="str">
        <f>IF(MODULO!$E$86&lt;&gt;"",IF(C$15&gt;B19,IF(C$15&lt;=C19,(C$15-B19)*D19/100,(C19-B19)*D19/100),0),"")</f>
        <v/>
      </c>
      <c r="H19" s="96" t="str">
        <f>IF(MODULO!$E$86&lt;&gt;"",IF(C$15&gt;B19,IF(C$15&lt;=C19,(C$15-B19)*E19/100,(C19-B19)*E19/100),0),"")</f>
        <v/>
      </c>
      <c r="I19" s="97" t="str">
        <f>IF(MODULO!$E$86&lt;&gt;"",IF(G19&lt;&gt;0,G19+(H19-G19)*0.5,0),"")</f>
        <v/>
      </c>
    </row>
    <row r="20" spans="1:10" x14ac:dyDescent="0.25">
      <c r="B20" s="100" t="str">
        <f>IF(MODULO!$E$86&lt;&gt;"",$B$9,"")</f>
        <v/>
      </c>
      <c r="C20" s="100" t="str">
        <f>IF(MODULO!$E$86&lt;&gt;"",$C$9,"")</f>
        <v/>
      </c>
      <c r="D20" s="28" t="str">
        <f>IF(MODULO!$E$86&lt;&gt;"",$D$9,"")</f>
        <v/>
      </c>
      <c r="E20" s="28" t="str">
        <f>IF(MODULO!$E$86&lt;&gt;"",$E$9,"")</f>
        <v/>
      </c>
      <c r="F20" s="29" t="str">
        <f>IF(MODULO!$E$86&lt;&gt;"",$F$9,"")</f>
        <v/>
      </c>
      <c r="G20" s="96" t="str">
        <f>IF(MODULO!$E$86&lt;&gt;"",IF(C$15&gt;B20,IF(C$15&lt;=C20,(C$15-B20)*D20/100,(C20-B20)*D20/100),0),"")</f>
        <v/>
      </c>
      <c r="H20" s="96" t="str">
        <f>IF(MODULO!$E$86&lt;&gt;"",IF(C$15&gt;B20,IF(C$15&lt;=C20,(C$15-B20)*E20/100,(C20-B20)*E20/100),0),"")</f>
        <v/>
      </c>
      <c r="I20" s="97" t="str">
        <f>IF(MODULO!$E$86&lt;&gt;"",IF(G20&lt;&gt;0,G20+(H20-G20)*0.5,0),"")</f>
        <v/>
      </c>
    </row>
    <row r="21" spans="1:10" x14ac:dyDescent="0.25">
      <c r="B21" s="100" t="str">
        <f>IF(MODULO!$E$86&lt;&gt;"",$B$10,"")</f>
        <v/>
      </c>
      <c r="C21" s="100" t="str">
        <f>IF(MODULO!$E$86&lt;&gt;"",$C$10,"")</f>
        <v/>
      </c>
      <c r="D21" s="28" t="str">
        <f>IF(MODULO!$E$86&lt;&gt;"",$D$10,"")</f>
        <v/>
      </c>
      <c r="E21" s="28" t="str">
        <f>IF(MODULO!$E$86&lt;&gt;"",$E$10,"")</f>
        <v/>
      </c>
      <c r="F21" s="29" t="str">
        <f>IF(MODULO!$E$86&lt;&gt;"",$F$10,"")</f>
        <v/>
      </c>
      <c r="G21" s="96" t="str">
        <f>IF(MODULO!$E$86&lt;&gt;"",IF(C$15&gt;B21,IF(C$15&lt;=C21,(C$15-B21)*D21/100,(C21-B21)*D21/100),0),"")</f>
        <v/>
      </c>
      <c r="H21" s="96" t="str">
        <f>IF(MODULO!$E$86&lt;&gt;"",IF(C$15&gt;B21,IF(C$15&lt;=C21,(C$15-B21)*E21/100,(C21-B21)*E21/100),0),"")</f>
        <v/>
      </c>
      <c r="I21" s="97" t="str">
        <f>IF(MODULO!$E$86&lt;&gt;"",IF(G21&lt;&gt;0,G21+(H21-G21)*0.5,0),"")</f>
        <v/>
      </c>
    </row>
    <row r="22" spans="1:10" x14ac:dyDescent="0.25">
      <c r="B22" s="100" t="str">
        <f>IF(MODULO!$E$86&lt;&gt;"",$B$11,"")</f>
        <v/>
      </c>
      <c r="C22" s="100" t="str">
        <f>IF(MODULO!$E$86&lt;&gt;"",$C$11,"")</f>
        <v/>
      </c>
      <c r="D22" s="28" t="str">
        <f>IF(MODULO!$E$86&lt;&gt;"",$D$11,"")</f>
        <v/>
      </c>
      <c r="E22" s="28" t="str">
        <f>IF(MODULO!$E$86&lt;&gt;"",$E$11,"")</f>
        <v/>
      </c>
      <c r="F22" s="29" t="str">
        <f>IF(MODULO!$E$86&lt;&gt;"",$F$11,"")</f>
        <v/>
      </c>
      <c r="G22" s="96" t="str">
        <f>IF(MODULO!$E$86&lt;&gt;"",IF(C$15&gt;B22,IF(C$15&lt;=C22,(C$15-B22)*D22/100,(C22-B22)*D22/100),0),"")</f>
        <v/>
      </c>
      <c r="H22" s="96" t="str">
        <f>IF(MODULO!$E$86&lt;&gt;"",IF(C$15&gt;B22,IF(C$15&lt;=C22,(C$15-B22)*E22/100,(C22-B22)*E22/100),0),"")</f>
        <v/>
      </c>
      <c r="I22" s="97" t="str">
        <f>IF(MODULO!$E$86&lt;&gt;"",IF(G22&lt;&gt;0,G22+(H22-G22)*0.5,0),"")</f>
        <v/>
      </c>
    </row>
    <row r="23" spans="1:10" x14ac:dyDescent="0.25">
      <c r="B23" s="100" t="str">
        <f>IF(MODULO!$E$86&lt;&gt;"",$B$12,"")</f>
        <v/>
      </c>
      <c r="C23" s="100" t="str">
        <f>IF(MODULO!$E$86&lt;&gt;"",$C$12,"")</f>
        <v/>
      </c>
      <c r="D23" s="28" t="str">
        <f>IF(MODULO!$E$86&lt;&gt;"",$D$12,"")</f>
        <v/>
      </c>
      <c r="E23" s="28" t="str">
        <f>IF(MODULO!$E$86&lt;&gt;"",$E$12,"")</f>
        <v/>
      </c>
      <c r="F23" s="29" t="str">
        <f>IF(MODULO!$E$86&lt;&gt;"",$F$12,"")</f>
        <v/>
      </c>
      <c r="G23" s="96" t="str">
        <f>IF(MODULO!$E$86&lt;&gt;"",IF(C$15&gt;B23,IF(C$15&lt;=C23,(C$15-B23)*D23/100,(C23-B23)*D23/100),0),"")</f>
        <v/>
      </c>
      <c r="H23" s="96" t="str">
        <f>IF(MODULO!$E$86&lt;&gt;"",IF(C$15&gt;B23,IF(C$15&lt;=C23,(C$15-B23)*E23/100,(C23-B23)*E23/100),0),"")</f>
        <v/>
      </c>
      <c r="I23" s="97" t="str">
        <f>IF(MODULO!$E$86&lt;&gt;"",IF(G23&lt;&gt;0,G23+(H23-G23)*0.5,0),"")</f>
        <v/>
      </c>
    </row>
    <row r="24" spans="1:10" x14ac:dyDescent="0.25">
      <c r="B24" s="20"/>
      <c r="C24" s="20"/>
      <c r="D24" s="21"/>
      <c r="E24" s="21"/>
      <c r="F24" s="22" t="str">
        <f>IF(MODULO!$E$86&lt;&gt;"",$F$13,"")</f>
        <v/>
      </c>
      <c r="G24" s="98" t="str">
        <f>IF(MODULO!$E$86&lt;&gt;"",IF(SUM(G17:G23)&gt;145.12,SUM(G17:G23),145.12),"")</f>
        <v/>
      </c>
      <c r="H24" s="98" t="str">
        <f>IF(MODULO!$E$86&lt;&gt;"",IF(SUM(H17:H23)&gt;145.12,SUM(H17:H23),145.12),"")</f>
        <v/>
      </c>
      <c r="I24" s="98" t="str">
        <f>IF(MODULO!$E$86&lt;&gt;"",IF(SUM(I17:I23)&gt;145.12,SUM(I17:I23),145.12),"")</f>
        <v/>
      </c>
    </row>
    <row r="25" spans="1:10" x14ac:dyDescent="0.25">
      <c r="A25" s="7"/>
      <c r="B25" s="269" t="str">
        <f>IF(MODULO!$E$87&lt;&gt;"",CONCATENATE("Lotto n° ",MODULO!$E$87),"")</f>
        <v/>
      </c>
      <c r="C25" s="269"/>
      <c r="D25" s="269"/>
      <c r="E25" s="269"/>
      <c r="F25" s="269"/>
      <c r="G25" s="269"/>
      <c r="H25" s="269"/>
      <c r="I25" s="269"/>
      <c r="J25" s="7"/>
    </row>
    <row r="26" spans="1:10" x14ac:dyDescent="0.25">
      <c r="B26" s="16" t="str">
        <f>IF(MODULO!$E$87&lt;&gt;"",$B$4,"")</f>
        <v/>
      </c>
      <c r="C26" s="102" t="str">
        <f>IF(MODULO!$E$87&lt;&gt;"",MODULO!$F$87,"")</f>
        <v/>
      </c>
      <c r="D26" s="270" t="str">
        <f>IF(MODULO!$E$87&lt;&gt;"",$D$4,"")</f>
        <v/>
      </c>
      <c r="E26" s="270"/>
      <c r="F26" s="270"/>
      <c r="G26" s="270" t="str">
        <f>IF(MODULO!$E$87&lt;&gt;"",$G$4,"")</f>
        <v/>
      </c>
      <c r="H26" s="270"/>
      <c r="I26" s="270"/>
    </row>
    <row r="27" spans="1:10" x14ac:dyDescent="0.25">
      <c r="B27" s="17" t="str">
        <f>IF(MODULO!$E$87&lt;&gt;"",$B$5,"")</f>
        <v/>
      </c>
      <c r="C27" s="17" t="str">
        <f>IF(MODULO!$E$87&lt;&gt;"",$C$5,"")</f>
        <v/>
      </c>
      <c r="D27" s="18" t="str">
        <f>IF(MODULO!$E$87&lt;&gt;"",$D$5,"")</f>
        <v/>
      </c>
      <c r="E27" s="18" t="str">
        <f>IF(MODULO!$E$87&lt;&gt;"",$E$5,"")</f>
        <v/>
      </c>
      <c r="F27" s="18" t="str">
        <f>IF(MODULO!$E$87&lt;&gt;"",$F$5,"")</f>
        <v/>
      </c>
      <c r="G27" s="18" t="str">
        <f>IF(MODULO!$E$87&lt;&gt;"",$G$5,"")</f>
        <v/>
      </c>
      <c r="H27" s="18" t="str">
        <f>IF(MODULO!$E$87&lt;&gt;"",$H$5,"")</f>
        <v/>
      </c>
      <c r="I27" s="19" t="str">
        <f>IF(MODULO!$E$87&lt;&gt;"",$I$5,"")</f>
        <v/>
      </c>
    </row>
    <row r="28" spans="1:10" x14ac:dyDescent="0.25">
      <c r="B28" s="100" t="str">
        <f>IF(MODULO!$E$87&lt;&gt;"",$B$6,"")</f>
        <v/>
      </c>
      <c r="C28" s="100" t="str">
        <f>IF(MODULO!$E$87&lt;&gt;"",$C$6,"")</f>
        <v/>
      </c>
      <c r="D28" s="28" t="str">
        <f>IF(MODULO!$E$87&lt;&gt;"",$D$6,"")</f>
        <v/>
      </c>
      <c r="E28" s="28" t="str">
        <f>IF(MODULO!$E$87&lt;&gt;"",$E$6,"")</f>
        <v/>
      </c>
      <c r="F28" s="29" t="str">
        <f>IF(MODULO!$E$87&lt;&gt;"",$F$6,"")</f>
        <v/>
      </c>
      <c r="G28" s="96" t="str">
        <f>IF(MODULO!$E$87&lt;&gt;"",IF(C$26&gt;B28,IF(C$26&lt;=C28,(C$26-B28)*D28/100,(C28-B28)*D28/100),0),"")</f>
        <v/>
      </c>
      <c r="H28" s="96" t="str">
        <f>IF(MODULO!$E$87&lt;&gt;"",IF(C$26&gt;B28,IF(C$26&lt;=C28,(C$26-B28)*E28/100,(C28-B28)*E28/100),0),"")</f>
        <v/>
      </c>
      <c r="I28" s="97" t="str">
        <f>IF(MODULO!$E$87&lt;&gt;"",IF(G28&lt;&gt;0,G28+(H28-G28)*0.5,0),"")</f>
        <v/>
      </c>
    </row>
    <row r="29" spans="1:10" x14ac:dyDescent="0.25">
      <c r="B29" s="100" t="str">
        <f>IF(MODULO!$E$87&lt;&gt;"",$B$7,"")</f>
        <v/>
      </c>
      <c r="C29" s="100" t="str">
        <f>IF(MODULO!$E$87&lt;&gt;"",$C$7,"")</f>
        <v/>
      </c>
      <c r="D29" s="28" t="str">
        <f>IF(MODULO!$E$87&lt;&gt;"",$D$7,"")</f>
        <v/>
      </c>
      <c r="E29" s="28" t="str">
        <f>IF(MODULO!$E$87&lt;&gt;"",$E$7,"")</f>
        <v/>
      </c>
      <c r="F29" s="29" t="str">
        <f>IF(MODULO!$E$87&lt;&gt;"",$F$7,"")</f>
        <v/>
      </c>
      <c r="G29" s="96" t="str">
        <f>IF(MODULO!$E$87&lt;&gt;"",IF(C$26&gt;B29,IF(C$26&lt;=C29,(C$26-B29)*D29/100,(C29-B29)*D29/100),0),"")</f>
        <v/>
      </c>
      <c r="H29" s="96" t="str">
        <f>IF(MODULO!$E$87&lt;&gt;"",IF(C$26&gt;B29,IF(C$26&lt;=C29,(C$26-B29)*E29/100,(C29-B29)*E29/100),0),"")</f>
        <v/>
      </c>
      <c r="I29" s="97" t="str">
        <f>IF(MODULO!$E$87&lt;&gt;"",IF(G29&lt;&gt;0,G29+(H29-G29)*0.5,0),"")</f>
        <v/>
      </c>
    </row>
    <row r="30" spans="1:10" x14ac:dyDescent="0.25">
      <c r="B30" s="100" t="str">
        <f>IF(MODULO!$E$87&lt;&gt;"",$B$8,"")</f>
        <v/>
      </c>
      <c r="C30" s="100" t="str">
        <f>IF(MODULO!$E$87&lt;&gt;"",$C$8,"")</f>
        <v/>
      </c>
      <c r="D30" s="28" t="str">
        <f>IF(MODULO!$E$87&lt;&gt;"",$D$8,"")</f>
        <v/>
      </c>
      <c r="E30" s="28" t="str">
        <f>IF(MODULO!$E$87&lt;&gt;"",$E$8,"")</f>
        <v/>
      </c>
      <c r="F30" s="29" t="str">
        <f>IF(MODULO!$E$87&lt;&gt;"",$F$8,"")</f>
        <v/>
      </c>
      <c r="G30" s="96" t="str">
        <f>IF(MODULO!$E$87&lt;&gt;"",IF(C$26&gt;B30,IF(C$26&lt;=C30,(C$26-B30)*D30/100,(C30-B30)*D30/100),0),"")</f>
        <v/>
      </c>
      <c r="H30" s="96" t="str">
        <f>IF(MODULO!$E$87&lt;&gt;"",IF(C$26&gt;B30,IF(C$26&lt;=C30,(C$26-B30)*E30/100,(C30-B30)*E30/100),0),"")</f>
        <v/>
      </c>
      <c r="I30" s="97" t="str">
        <f>IF(MODULO!$E$87&lt;&gt;"",IF(G30&lt;&gt;0,G30+(H30-G30)*0.5,0),"")</f>
        <v/>
      </c>
    </row>
    <row r="31" spans="1:10" x14ac:dyDescent="0.25">
      <c r="B31" s="100" t="str">
        <f>IF(MODULO!$E$87&lt;&gt;"",$B$9,"")</f>
        <v/>
      </c>
      <c r="C31" s="100" t="str">
        <f>IF(MODULO!$E$87&lt;&gt;"",$C$9,"")</f>
        <v/>
      </c>
      <c r="D31" s="28" t="str">
        <f>IF(MODULO!$E$87&lt;&gt;"",$D$9,"")</f>
        <v/>
      </c>
      <c r="E31" s="28" t="str">
        <f>IF(MODULO!$E$87&lt;&gt;"",$E$9,"")</f>
        <v/>
      </c>
      <c r="F31" s="29" t="str">
        <f>IF(MODULO!$E$87&lt;&gt;"",$F$9,"")</f>
        <v/>
      </c>
      <c r="G31" s="96" t="str">
        <f>IF(MODULO!$E$87&lt;&gt;"",IF(C$26&gt;B31,IF(C$26&lt;=C31,(C$26-B31)*D31/100,(C31-B31)*D31/100),0),"")</f>
        <v/>
      </c>
      <c r="H31" s="96" t="str">
        <f>IF(MODULO!$E$87&lt;&gt;"",IF(C$26&gt;B31,IF(C$26&lt;=C31,(C$26-B31)*E31/100,(C31-B31)*E31/100),0),"")</f>
        <v/>
      </c>
      <c r="I31" s="97" t="str">
        <f>IF(MODULO!$E$87&lt;&gt;"",IF(G31&lt;&gt;0,G31+(H31-G31)*0.5,0),"")</f>
        <v/>
      </c>
    </row>
    <row r="32" spans="1:10" x14ac:dyDescent="0.25">
      <c r="B32" s="100" t="str">
        <f>IF(MODULO!$E$87&lt;&gt;"",$B$10,"")</f>
        <v/>
      </c>
      <c r="C32" s="100" t="str">
        <f>IF(MODULO!$E$87&lt;&gt;"",$C$10,"")</f>
        <v/>
      </c>
      <c r="D32" s="28" t="str">
        <f>IF(MODULO!$E$87&lt;&gt;"",$D$10,"")</f>
        <v/>
      </c>
      <c r="E32" s="28" t="str">
        <f>IF(MODULO!$E$87&lt;&gt;"",$E$10,"")</f>
        <v/>
      </c>
      <c r="F32" s="29" t="str">
        <f>IF(MODULO!$E$87&lt;&gt;"",$F$10,"")</f>
        <v/>
      </c>
      <c r="G32" s="96" t="str">
        <f>IF(MODULO!$E$87&lt;&gt;"",IF(C$26&gt;B32,IF(C$26&lt;=C32,(C$26-B32)*D32/100,(C32-B32)*D32/100),0),"")</f>
        <v/>
      </c>
      <c r="H32" s="96" t="str">
        <f>IF(MODULO!$E$87&lt;&gt;"",IF(C$26&gt;B32,IF(C$26&lt;=C32,(C$26-B32)*E32/100,(C32-B32)*E32/100),0),"")</f>
        <v/>
      </c>
      <c r="I32" s="97" t="str">
        <f>IF(MODULO!$E$87&lt;&gt;"",IF(G32&lt;&gt;0,G32+(H32-G32)*0.5,0),"")</f>
        <v/>
      </c>
    </row>
    <row r="33" spans="1:10" x14ac:dyDescent="0.25">
      <c r="B33" s="100" t="str">
        <f>IF(MODULO!$E$87&lt;&gt;"",$B$11,"")</f>
        <v/>
      </c>
      <c r="C33" s="100" t="str">
        <f>IF(MODULO!$E$87&lt;&gt;"",$C$11,"")</f>
        <v/>
      </c>
      <c r="D33" s="28" t="str">
        <f>IF(MODULO!$E$87&lt;&gt;"",$D$11,"")</f>
        <v/>
      </c>
      <c r="E33" s="28" t="str">
        <f>IF(MODULO!$E$87&lt;&gt;"",$E$11,"")</f>
        <v/>
      </c>
      <c r="F33" s="29" t="str">
        <f>IF(MODULO!$E$87&lt;&gt;"",$F$11,"")</f>
        <v/>
      </c>
      <c r="G33" s="96" t="str">
        <f>IF(MODULO!$E$87&lt;&gt;"",IF(C$26&gt;B33,IF(C$26&lt;=C33,(C$26-B33)*D33/100,(C33-B33)*D33/100),0),"")</f>
        <v/>
      </c>
      <c r="H33" s="96" t="str">
        <f>IF(MODULO!$E$87&lt;&gt;"",IF(C$26&gt;B33,IF(C$26&lt;=C33,(C$26-B33)*E33/100,(C33-B33)*E33/100),0),"")</f>
        <v/>
      </c>
      <c r="I33" s="97" t="str">
        <f>IF(MODULO!$E$87&lt;&gt;"",IF(G33&lt;&gt;0,G33+(H33-G33)*0.5,0),"")</f>
        <v/>
      </c>
    </row>
    <row r="34" spans="1:10" x14ac:dyDescent="0.25">
      <c r="B34" s="100" t="str">
        <f>IF(MODULO!$E$87&lt;&gt;"",$B$12,"")</f>
        <v/>
      </c>
      <c r="C34" s="100" t="str">
        <f>IF(MODULO!$E$87&lt;&gt;"",$C$12,"")</f>
        <v/>
      </c>
      <c r="D34" s="28" t="str">
        <f>IF(MODULO!$E$87&lt;&gt;"",$D$12,"")</f>
        <v/>
      </c>
      <c r="E34" s="28" t="str">
        <f>IF(MODULO!$E$87&lt;&gt;"",$E$12,"")</f>
        <v/>
      </c>
      <c r="F34" s="29" t="str">
        <f>IF(MODULO!$E$87&lt;&gt;"",$F$12,"")</f>
        <v/>
      </c>
      <c r="G34" s="96" t="str">
        <f>IF(MODULO!$E$87&lt;&gt;"",IF(C$26&gt;B34,IF(C$26&lt;=C34,(C$26-B34)*D34/100,(C34-B34)*D34/100),0),"")</f>
        <v/>
      </c>
      <c r="H34" s="96" t="str">
        <f>IF(MODULO!$E$87&lt;&gt;"",IF(C$26&gt;B34,IF(C$26&lt;=C34,(C$26-B34)*E34/100,(C34-B34)*E34/100),0),"")</f>
        <v/>
      </c>
      <c r="I34" s="97" t="str">
        <f>IF(MODULO!$E$87&lt;&gt;"",IF(G34&lt;&gt;0,G34+(H34-G34)*0.5,0),"")</f>
        <v/>
      </c>
    </row>
    <row r="35" spans="1:10" x14ac:dyDescent="0.25">
      <c r="B35" s="20"/>
      <c r="C35" s="20"/>
      <c r="D35" s="21"/>
      <c r="E35" s="21"/>
      <c r="F35" s="22" t="str">
        <f>IF(MODULO!$E$87&lt;&gt;"",$F$13,"")</f>
        <v/>
      </c>
      <c r="G35" s="98" t="str">
        <f>IF(MODULO!$E$87&lt;&gt;"",IF(SUM(G28:G34)&gt;145.12,SUM(G28:G34),145.12),"")</f>
        <v/>
      </c>
      <c r="H35" s="98" t="str">
        <f>IF(MODULO!$E$87&lt;&gt;"",IF(SUM(H28:H34)&gt;145.12,SUM(H28:H34),145.12),"")</f>
        <v/>
      </c>
      <c r="I35" s="98" t="str">
        <f>IF(MODULO!$E$87&lt;&gt;"",IF(SUM(I28:I34)&gt;145.12,SUM(I28:I34),145.12),"")</f>
        <v/>
      </c>
    </row>
    <row r="36" spans="1:10" x14ac:dyDescent="0.25">
      <c r="A36" s="7"/>
      <c r="B36" s="269" t="str">
        <f>IF(MODULO!$E$88&lt;&gt;"",CONCATENATE("Lotto n° ",MODULO!$E$88),"")</f>
        <v/>
      </c>
      <c r="C36" s="269"/>
      <c r="D36" s="269"/>
      <c r="E36" s="269"/>
      <c r="F36" s="269"/>
      <c r="G36" s="269"/>
      <c r="H36" s="269"/>
      <c r="I36" s="269"/>
      <c r="J36" s="7"/>
    </row>
    <row r="37" spans="1:10" x14ac:dyDescent="0.25">
      <c r="B37" s="16" t="str">
        <f>IF(MODULO!$E$88&lt;&gt;"",$B$4,"")</f>
        <v/>
      </c>
      <c r="C37" s="102" t="str">
        <f>IF(MODULO!$E$88&lt;&gt;"",MODULO!$F$88,"")</f>
        <v/>
      </c>
      <c r="D37" s="270" t="str">
        <f>IF(MODULO!$E$88&lt;&gt;"",$D$4,"")</f>
        <v/>
      </c>
      <c r="E37" s="270"/>
      <c r="F37" s="270"/>
      <c r="G37" s="270" t="str">
        <f>IF(MODULO!$E$88&lt;&gt;"",$G$4,"")</f>
        <v/>
      </c>
      <c r="H37" s="270"/>
      <c r="I37" s="270"/>
    </row>
    <row r="38" spans="1:10" x14ac:dyDescent="0.25">
      <c r="B38" s="17" t="str">
        <f>IF(MODULO!$E$88&lt;&gt;"",$B$5,"")</f>
        <v/>
      </c>
      <c r="C38" s="17" t="str">
        <f>IF(MODULO!$E$88&lt;&gt;"",$C$5,"")</f>
        <v/>
      </c>
      <c r="D38" s="23" t="str">
        <f>IF(MODULO!$E$88&lt;&gt;"",$D$5,"")</f>
        <v/>
      </c>
      <c r="E38" s="23" t="str">
        <f>IF(MODULO!$E$88&lt;&gt;"",$E$5,"")</f>
        <v/>
      </c>
      <c r="F38" s="23" t="str">
        <f>IF(MODULO!$E$88&lt;&gt;"",$F$5,"")</f>
        <v/>
      </c>
      <c r="G38" s="23" t="str">
        <f>IF(MODULO!$E$88&lt;&gt;"",$G$5,"")</f>
        <v/>
      </c>
      <c r="H38" s="23" t="str">
        <f>IF(MODULO!$E$88&lt;&gt;"",$H$5,"")</f>
        <v/>
      </c>
      <c r="I38" s="19" t="str">
        <f>IF(MODULO!$E$88&lt;&gt;"",$I$5,"")</f>
        <v/>
      </c>
    </row>
    <row r="39" spans="1:10" x14ac:dyDescent="0.25">
      <c r="B39" s="100" t="str">
        <f>IF(MODULO!$E$88&lt;&gt;"",$B$6,"")</f>
        <v/>
      </c>
      <c r="C39" s="100" t="str">
        <f>IF(MODULO!$E$88&lt;&gt;"",$C$6,"")</f>
        <v/>
      </c>
      <c r="D39" s="28" t="str">
        <f>IF(MODULO!$E$88&lt;&gt;"",$D$6,"")</f>
        <v/>
      </c>
      <c r="E39" s="28" t="str">
        <f>IF(MODULO!$E$88&lt;&gt;"",$E$6,"")</f>
        <v/>
      </c>
      <c r="F39" s="29" t="str">
        <f>IF(MODULO!$E$88&lt;&gt;"",$F$6,"")</f>
        <v/>
      </c>
      <c r="G39" s="96" t="str">
        <f>IF(MODULO!$E$88&lt;&gt;"",IF(C$37&gt;B39,IF(C$37&lt;=C39,(C$37-B39)*D39/100,(C39-B39)*D39/100),0),"")</f>
        <v/>
      </c>
      <c r="H39" s="96" t="str">
        <f>IF(MODULO!$E$88&lt;&gt;"",IF(C$37&gt;B39,IF(C$37&lt;=C39,(C$37-B39)*E39/100,(C39-B39)*E39/100),0),"")</f>
        <v/>
      </c>
      <c r="I39" s="97" t="str">
        <f>IF(MODULO!$E$88&lt;&gt;"",IF(G39&lt;&gt;0,G39+(H39-G39)*0.5,0),"")</f>
        <v/>
      </c>
    </row>
    <row r="40" spans="1:10" x14ac:dyDescent="0.25">
      <c r="B40" s="100" t="str">
        <f>IF(MODULO!$E$88&lt;&gt;"",$B$7,"")</f>
        <v/>
      </c>
      <c r="C40" s="100" t="str">
        <f>IF(MODULO!$E$88&lt;&gt;"",$C$7,"")</f>
        <v/>
      </c>
      <c r="D40" s="28" t="str">
        <f>IF(MODULO!$E$88&lt;&gt;"",$D$7,"")</f>
        <v/>
      </c>
      <c r="E40" s="28" t="str">
        <f>IF(MODULO!$E$88&lt;&gt;"",$E$7,"")</f>
        <v/>
      </c>
      <c r="F40" s="29" t="str">
        <f>IF(MODULO!$E$88&lt;&gt;"",$F$7,"")</f>
        <v/>
      </c>
      <c r="G40" s="96" t="str">
        <f>IF(MODULO!$E$88&lt;&gt;"",IF(C$37&gt;B40,IF(C$37&lt;=C40,(C$37-B40)*D40/100,(C40-B40)*D40/100),0),"")</f>
        <v/>
      </c>
      <c r="H40" s="96" t="str">
        <f>IF(MODULO!$E$88&lt;&gt;"",IF(C$37&gt;B40,IF(C$37&lt;=C40,(C$37-B40)*E40/100,(C40-B40)*E40/100),0),"")</f>
        <v/>
      </c>
      <c r="I40" s="97" t="str">
        <f>IF(MODULO!$E$88&lt;&gt;"",IF(G40&lt;&gt;0,G40+(H40-G40)*0.5,0),"")</f>
        <v/>
      </c>
    </row>
    <row r="41" spans="1:10" x14ac:dyDescent="0.25">
      <c r="B41" s="100" t="str">
        <f>IF(MODULO!$E$88&lt;&gt;"",$B$8,"")</f>
        <v/>
      </c>
      <c r="C41" s="100" t="str">
        <f>IF(MODULO!$E$88&lt;&gt;"",$C$8,"")</f>
        <v/>
      </c>
      <c r="D41" s="28" t="str">
        <f>IF(MODULO!$E$88&lt;&gt;"",$D$8,"")</f>
        <v/>
      </c>
      <c r="E41" s="28" t="str">
        <f>IF(MODULO!$E$88&lt;&gt;"",$E$8,"")</f>
        <v/>
      </c>
      <c r="F41" s="29" t="str">
        <f>IF(MODULO!$E$88&lt;&gt;"",$F$8,"")</f>
        <v/>
      </c>
      <c r="G41" s="96" t="str">
        <f>IF(MODULO!$E$88&lt;&gt;"",IF(C$37&gt;B41,IF(C$37&lt;=C41,(C$37-B41)*D41/100,(C41-B41)*D41/100),0),"")</f>
        <v/>
      </c>
      <c r="H41" s="96" t="str">
        <f>IF(MODULO!$E$88&lt;&gt;"",IF(C$37&gt;B41,IF(C$37&lt;=C41,(C$37-B41)*E41/100,(C41-B41)*E41/100),0),"")</f>
        <v/>
      </c>
      <c r="I41" s="97" t="str">
        <f>IF(MODULO!$E$88&lt;&gt;"",IF(G41&lt;&gt;0,G41+(H41-G41)*0.5,0),"")</f>
        <v/>
      </c>
    </row>
    <row r="42" spans="1:10" x14ac:dyDescent="0.25">
      <c r="B42" s="100" t="str">
        <f>IF(MODULO!$E$88&lt;&gt;"",$B$9,"")</f>
        <v/>
      </c>
      <c r="C42" s="100" t="str">
        <f>IF(MODULO!$E$88&lt;&gt;"",$C$9,"")</f>
        <v/>
      </c>
      <c r="D42" s="28" t="str">
        <f>IF(MODULO!$E$88&lt;&gt;"",$D$9,"")</f>
        <v/>
      </c>
      <c r="E42" s="28" t="str">
        <f>IF(MODULO!$E$88&lt;&gt;"",$E$9,"")</f>
        <v/>
      </c>
      <c r="F42" s="29" t="str">
        <f>IF(MODULO!$E$88&lt;&gt;"",$F$9,"")</f>
        <v/>
      </c>
      <c r="G42" s="96" t="str">
        <f>IF(MODULO!$E$88&lt;&gt;"",IF(C$37&gt;B42,IF(C$37&lt;=C42,(C$37-B42)*D42/100,(C42-B42)*D42/100),0),"")</f>
        <v/>
      </c>
      <c r="H42" s="96" t="str">
        <f>IF(MODULO!$E$88&lt;&gt;"",IF(C$37&gt;B42,IF(C$37&lt;=C42,(C$37-B42)*E42/100,(C42-B42)*E42/100),0),"")</f>
        <v/>
      </c>
      <c r="I42" s="97" t="str">
        <f>IF(MODULO!$E$88&lt;&gt;"",IF(G42&lt;&gt;0,G42+(H42-G42)*0.5,0),"")</f>
        <v/>
      </c>
    </row>
    <row r="43" spans="1:10" x14ac:dyDescent="0.25">
      <c r="B43" s="100" t="str">
        <f>IF(MODULO!$E$88&lt;&gt;"",$B$10,"")</f>
        <v/>
      </c>
      <c r="C43" s="100" t="str">
        <f>IF(MODULO!$E$88&lt;&gt;"",$C$10,"")</f>
        <v/>
      </c>
      <c r="D43" s="28" t="str">
        <f>IF(MODULO!$E$88&lt;&gt;"",$D$10,"")</f>
        <v/>
      </c>
      <c r="E43" s="28" t="str">
        <f>IF(MODULO!$E$88&lt;&gt;"",$E$10,"")</f>
        <v/>
      </c>
      <c r="F43" s="29" t="str">
        <f>IF(MODULO!$E$88&lt;&gt;"",$F$10,"")</f>
        <v/>
      </c>
      <c r="G43" s="96" t="str">
        <f>IF(MODULO!$E$88&lt;&gt;"",IF(C$37&gt;B43,IF(C$37&lt;=C43,(C$37-B43)*D43/100,(C43-B43)*D43/100),0),"")</f>
        <v/>
      </c>
      <c r="H43" s="96" t="str">
        <f>IF(MODULO!$E$88&lt;&gt;"",IF(C$37&gt;B43,IF(C$37&lt;=C43,(C$37-B43)*E43/100,(C43-B43)*E43/100),0),"")</f>
        <v/>
      </c>
      <c r="I43" s="97" t="str">
        <f>IF(MODULO!$E$88&lt;&gt;"",IF(G43&lt;&gt;0,G43+(H43-G43)*0.5,0),"")</f>
        <v/>
      </c>
    </row>
    <row r="44" spans="1:10" x14ac:dyDescent="0.25">
      <c r="B44" s="100" t="str">
        <f>IF(MODULO!$E$88&lt;&gt;"",$B$11,"")</f>
        <v/>
      </c>
      <c r="C44" s="100" t="str">
        <f>IF(MODULO!$E$88&lt;&gt;"",$C$11,"")</f>
        <v/>
      </c>
      <c r="D44" s="28" t="str">
        <f>IF(MODULO!$E$88&lt;&gt;"",$D$11,"")</f>
        <v/>
      </c>
      <c r="E44" s="28" t="str">
        <f>IF(MODULO!$E$88&lt;&gt;"",$E$11,"")</f>
        <v/>
      </c>
      <c r="F44" s="29" t="str">
        <f>IF(MODULO!$E$88&lt;&gt;"",$F$11,"")</f>
        <v/>
      </c>
      <c r="G44" s="96" t="str">
        <f>IF(MODULO!$E$88&lt;&gt;"",IF(C$37&gt;B44,IF(C$37&lt;=C44,(C$37-B44)*D44/100,(C44-B44)*D44/100),0),"")</f>
        <v/>
      </c>
      <c r="H44" s="96" t="str">
        <f>IF(MODULO!$E$88&lt;&gt;"",IF(C$37&gt;B44,IF(C$37&lt;=C44,(C$37-B44)*E44/100,(C44-B44)*E44/100),0),"")</f>
        <v/>
      </c>
      <c r="I44" s="97" t="str">
        <f>IF(MODULO!$E$88&lt;&gt;"",IF(G44&lt;&gt;0,G44+(H44-G44)*0.5,0),"")</f>
        <v/>
      </c>
    </row>
    <row r="45" spans="1:10" x14ac:dyDescent="0.25">
      <c r="B45" s="100" t="str">
        <f>IF(MODULO!$E$88&lt;&gt;"",$B$12,"")</f>
        <v/>
      </c>
      <c r="C45" s="100" t="str">
        <f>IF(MODULO!$E$88&lt;&gt;"",$C$12,"")</f>
        <v/>
      </c>
      <c r="D45" s="28" t="str">
        <f>IF(MODULO!$E$88&lt;&gt;"",$D$12,"")</f>
        <v/>
      </c>
      <c r="E45" s="28" t="str">
        <f>IF(MODULO!$E$88&lt;&gt;"",$E$12,"")</f>
        <v/>
      </c>
      <c r="F45" s="29" t="str">
        <f>IF(MODULO!$E$88&lt;&gt;"",$F$12,"")</f>
        <v/>
      </c>
      <c r="G45" s="96" t="str">
        <f>IF(MODULO!$E$88&lt;&gt;"",IF(C$37&gt;B45,IF(C$37&lt;=C45,(C$37-B45)*D45/100,(C45-B45)*D45/100),0),"")</f>
        <v/>
      </c>
      <c r="H45" s="96" t="str">
        <f>IF(MODULO!$E$88&lt;&gt;"",IF(C$37&gt;B45,IF(C$37&lt;=C45,(C$37-B45)*E45/100,(C45-B45)*E45/100),0),"")</f>
        <v/>
      </c>
      <c r="I45" s="97" t="str">
        <f>IF(MODULO!$E$88&lt;&gt;"",IF(G45&lt;&gt;0,G45+(H45-G45)*0.5,0),"")</f>
        <v/>
      </c>
    </row>
    <row r="46" spans="1:10" x14ac:dyDescent="0.25">
      <c r="B46" s="20"/>
      <c r="C46" s="20"/>
      <c r="D46" s="21"/>
      <c r="E46" s="21"/>
      <c r="F46" s="22" t="str">
        <f>IF(MODULO!$E$88&lt;&gt;"",$F$13,"")</f>
        <v/>
      </c>
      <c r="G46" s="98" t="str">
        <f>IF(MODULO!$E$88&lt;&gt;"",IF(SUM(G39:G45)&gt;145.12,SUM(G39:G45),145.12),"")</f>
        <v/>
      </c>
      <c r="H46" s="98" t="str">
        <f>IF(MODULO!$E$88&lt;&gt;"",IF(SUM(H39:H45)&gt;145.12,SUM(H39:H45),145.12),"")</f>
        <v/>
      </c>
      <c r="I46" s="98" t="str">
        <f>IF(MODULO!$E$88&lt;&gt;"",IF(SUM(I39:I45)&gt;145.12,SUM(I39:I45),145.12),"")</f>
        <v/>
      </c>
    </row>
    <row r="47" spans="1:10" x14ac:dyDescent="0.25">
      <c r="A47" s="7"/>
      <c r="B47" s="269" t="str">
        <f>IF(MODULO!$E$89&lt;&gt;"",CONCATENATE("Lotto n° ",MODULO!$E$89),"")</f>
        <v/>
      </c>
      <c r="C47" s="269"/>
      <c r="D47" s="269"/>
      <c r="E47" s="269"/>
      <c r="F47" s="269"/>
      <c r="G47" s="269"/>
      <c r="H47" s="269"/>
      <c r="I47" s="269"/>
      <c r="J47" s="7"/>
    </row>
    <row r="48" spans="1:10" x14ac:dyDescent="0.25">
      <c r="B48" s="16" t="str">
        <f>IF(MODULO!$E$89&lt;&gt;"",$B$4,"")</f>
        <v/>
      </c>
      <c r="C48" s="102" t="str">
        <f>IF(MODULO!$E$89&lt;&gt;"",MODULO!$F$89,"")</f>
        <v/>
      </c>
      <c r="D48" s="270" t="str">
        <f>IF(MODULO!$E$89&lt;&gt;"",$D$4,"")</f>
        <v/>
      </c>
      <c r="E48" s="270"/>
      <c r="F48" s="270"/>
      <c r="G48" s="270" t="str">
        <f>IF(MODULO!$E$89&lt;&gt;"",$G$4,"")</f>
        <v/>
      </c>
      <c r="H48" s="270"/>
      <c r="I48" s="270"/>
    </row>
    <row r="49" spans="1:10" x14ac:dyDescent="0.25">
      <c r="B49" s="17" t="str">
        <f>IF(MODULO!$E$89&lt;&gt;"",$B$5,"")</f>
        <v/>
      </c>
      <c r="C49" s="17" t="str">
        <f>IF(MODULO!$E$89&lt;&gt;"",$C$5,"")</f>
        <v/>
      </c>
      <c r="D49" s="23" t="str">
        <f>IF(MODULO!$E$89&lt;&gt;"",$D$5,"")</f>
        <v/>
      </c>
      <c r="E49" s="23" t="str">
        <f>IF(MODULO!$E$89&lt;&gt;"",$E$5,"")</f>
        <v/>
      </c>
      <c r="F49" s="23" t="str">
        <f>IF(MODULO!$E$89&lt;&gt;"",$F$5,"")</f>
        <v/>
      </c>
      <c r="G49" s="23" t="str">
        <f>IF(MODULO!$E$89&lt;&gt;"",$G$5,"")</f>
        <v/>
      </c>
      <c r="H49" s="23" t="str">
        <f>IF(MODULO!$E$89&lt;&gt;"",$H$5,"")</f>
        <v/>
      </c>
      <c r="I49" s="19" t="str">
        <f>IF(MODULO!$E$89&lt;&gt;"",$I$5,"")</f>
        <v/>
      </c>
    </row>
    <row r="50" spans="1:10" x14ac:dyDescent="0.25">
      <c r="B50" s="100" t="str">
        <f>IF(MODULO!$E$89&lt;&gt;"",$B$6,"")</f>
        <v/>
      </c>
      <c r="C50" s="100" t="str">
        <f>IF(MODULO!$E$89&lt;&gt;"",$C$6,"")</f>
        <v/>
      </c>
      <c r="D50" s="28" t="str">
        <f>IF(MODULO!$E$89&lt;&gt;"",$D$6,"")</f>
        <v/>
      </c>
      <c r="E50" s="28" t="str">
        <f>IF(MODULO!$E$89&lt;&gt;"",$E$6,"")</f>
        <v/>
      </c>
      <c r="F50" s="29" t="str">
        <f>IF(MODULO!$E$89&lt;&gt;"",$F$6,"")</f>
        <v/>
      </c>
      <c r="G50" s="96" t="str">
        <f>IF(MODULO!$E$89&lt;&gt;"",IF(C$48&gt;B50,IF(C$48&lt;=C50,(C$48-B50)*D50/100,(C50-B50)*D50/100),0),"")</f>
        <v/>
      </c>
      <c r="H50" s="96" t="str">
        <f>IF(MODULO!$E$89&lt;&gt;"",IF(C$48&gt;B50,IF(C$48&lt;=C50,(C$48-B50)*E50/100,(C50-B50)*E50/100),0),"")</f>
        <v/>
      </c>
      <c r="I50" s="97" t="str">
        <f>IF(MODULO!$E$89&lt;&gt;"",IF(G50&lt;&gt;0,G50+(H50-G50)*0.5,0),"")</f>
        <v/>
      </c>
    </row>
    <row r="51" spans="1:10" x14ac:dyDescent="0.25">
      <c r="B51" s="100" t="str">
        <f>IF(MODULO!$E$89&lt;&gt;"",$B$7,"")</f>
        <v/>
      </c>
      <c r="C51" s="100" t="str">
        <f>IF(MODULO!$E$89&lt;&gt;"",$C$7,"")</f>
        <v/>
      </c>
      <c r="D51" s="28" t="str">
        <f>IF(MODULO!$E$89&lt;&gt;"",$D$7,"")</f>
        <v/>
      </c>
      <c r="E51" s="28" t="str">
        <f>IF(MODULO!$E$89&lt;&gt;"",$E$7,"")</f>
        <v/>
      </c>
      <c r="F51" s="29" t="str">
        <f>IF(MODULO!$E$89&lt;&gt;"",$F$7,"")</f>
        <v/>
      </c>
      <c r="G51" s="96" t="str">
        <f>IF(MODULO!$E$89&lt;&gt;"",IF(C$48&gt;B51,IF(C$48&lt;=C51,(C$48-B51)*D51/100,(C51-B51)*D51/100),0),"")</f>
        <v/>
      </c>
      <c r="H51" s="96" t="str">
        <f>IF(MODULO!$E$89&lt;&gt;"",IF(C$48&gt;B51,IF(C$48&lt;=C51,(C$48-B51)*E51/100,(C51-B51)*E51/100),0),"")</f>
        <v/>
      </c>
      <c r="I51" s="97" t="str">
        <f>IF(MODULO!$E$89&lt;&gt;"",IF(G51&lt;&gt;0,G51+(H51-G51)*0.5,0),"")</f>
        <v/>
      </c>
    </row>
    <row r="52" spans="1:10" x14ac:dyDescent="0.25">
      <c r="B52" s="100" t="str">
        <f>IF(MODULO!$E$89&lt;&gt;"",$B$8,"")</f>
        <v/>
      </c>
      <c r="C52" s="100" t="str">
        <f>IF(MODULO!$E$89&lt;&gt;"",$C$8,"")</f>
        <v/>
      </c>
      <c r="D52" s="28" t="str">
        <f>IF(MODULO!$E$89&lt;&gt;"",$D$8,"")</f>
        <v/>
      </c>
      <c r="E52" s="28" t="str">
        <f>IF(MODULO!$E$89&lt;&gt;"",$E$8,"")</f>
        <v/>
      </c>
      <c r="F52" s="29" t="str">
        <f>IF(MODULO!$E$89&lt;&gt;"",$F$8,"")</f>
        <v/>
      </c>
      <c r="G52" s="96" t="str">
        <f>IF(MODULO!$E$89&lt;&gt;"",IF(C$48&gt;B52,IF(C$48&lt;=C52,(C$48-B52)*D52/100,(C52-B52)*D52/100),0),"")</f>
        <v/>
      </c>
      <c r="H52" s="96" t="str">
        <f>IF(MODULO!$E$89&lt;&gt;"",IF(C$48&gt;B52,IF(C$48&lt;=C52,(C$48-B52)*E52/100,(C52-B52)*E52/100),0),"")</f>
        <v/>
      </c>
      <c r="I52" s="97" t="str">
        <f>IF(MODULO!$E$89&lt;&gt;"",IF(G52&lt;&gt;0,G52+(H52-G52)*0.5,0),"")</f>
        <v/>
      </c>
    </row>
    <row r="53" spans="1:10" x14ac:dyDescent="0.25">
      <c r="B53" s="100" t="str">
        <f>IF(MODULO!$E$89&lt;&gt;"",$B$9,"")</f>
        <v/>
      </c>
      <c r="C53" s="100" t="str">
        <f>IF(MODULO!$E$89&lt;&gt;"",$C$9,"")</f>
        <v/>
      </c>
      <c r="D53" s="28" t="str">
        <f>IF(MODULO!$E$89&lt;&gt;"",$D$9,"")</f>
        <v/>
      </c>
      <c r="E53" s="28" t="str">
        <f>IF(MODULO!$E$89&lt;&gt;"",$E$9,"")</f>
        <v/>
      </c>
      <c r="F53" s="29" t="str">
        <f>IF(MODULO!$E$89&lt;&gt;"",$F$9,"")</f>
        <v/>
      </c>
      <c r="G53" s="96" t="str">
        <f>IF(MODULO!$E$89&lt;&gt;"",IF(C$48&gt;B53,IF(C$48&lt;=C53,(C$48-B53)*D53/100,(C53-B53)*D53/100),0),"")</f>
        <v/>
      </c>
      <c r="H53" s="96" t="str">
        <f>IF(MODULO!$E$89&lt;&gt;"",IF(C$48&gt;B53,IF(C$48&lt;=C53,(C$48-B53)*E53/100,(C53-B53)*E53/100),0),"")</f>
        <v/>
      </c>
      <c r="I53" s="97" t="str">
        <f>IF(MODULO!$E$89&lt;&gt;"",IF(G53&lt;&gt;0,G53+(H53-G53)*0.5,0),"")</f>
        <v/>
      </c>
    </row>
    <row r="54" spans="1:10" x14ac:dyDescent="0.25">
      <c r="B54" s="100" t="str">
        <f>IF(MODULO!$E$89&lt;&gt;"",$B$10,"")</f>
        <v/>
      </c>
      <c r="C54" s="100" t="str">
        <f>IF(MODULO!$E$89&lt;&gt;"",$C$10,"")</f>
        <v/>
      </c>
      <c r="D54" s="28" t="str">
        <f>IF(MODULO!$E$89&lt;&gt;"",$D$10,"")</f>
        <v/>
      </c>
      <c r="E54" s="28" t="str">
        <f>IF(MODULO!$E$89&lt;&gt;"",$E$10,"")</f>
        <v/>
      </c>
      <c r="F54" s="29" t="str">
        <f>IF(MODULO!$E$89&lt;&gt;"",$F$10,"")</f>
        <v/>
      </c>
      <c r="G54" s="96" t="str">
        <f>IF(MODULO!$E$89&lt;&gt;"",IF(C$48&gt;B54,IF(C$48&lt;=C54,(C$48-B54)*D54/100,(C54-B54)*D54/100),0),"")</f>
        <v/>
      </c>
      <c r="H54" s="96" t="str">
        <f>IF(MODULO!$E$89&lt;&gt;"",IF(C$48&gt;B54,IF(C$48&lt;=C54,(C$48-B54)*E54/100,(C54-B54)*E54/100),0),"")</f>
        <v/>
      </c>
      <c r="I54" s="97" t="str">
        <f>IF(MODULO!$E$89&lt;&gt;"",IF(G54&lt;&gt;0,G54+(H54-G54)*0.5,0),"")</f>
        <v/>
      </c>
    </row>
    <row r="55" spans="1:10" x14ac:dyDescent="0.25">
      <c r="B55" s="100" t="str">
        <f>IF(MODULO!$E$89&lt;&gt;"",$B$11,"")</f>
        <v/>
      </c>
      <c r="C55" s="100" t="str">
        <f>IF(MODULO!$E$89&lt;&gt;"",$C$11,"")</f>
        <v/>
      </c>
      <c r="D55" s="28" t="str">
        <f>IF(MODULO!$E$89&lt;&gt;"",$D$11,"")</f>
        <v/>
      </c>
      <c r="E55" s="28" t="str">
        <f>IF(MODULO!$E$89&lt;&gt;"",$E$11,"")</f>
        <v/>
      </c>
      <c r="F55" s="29" t="str">
        <f>IF(MODULO!$E$89&lt;&gt;"",$F$11,"")</f>
        <v/>
      </c>
      <c r="G55" s="96" t="str">
        <f>IF(MODULO!$E$89&lt;&gt;"",IF(C$48&gt;B55,IF(C$48&lt;=C55,(C$48-B55)*D55/100,(C55-B55)*D55/100),0),"")</f>
        <v/>
      </c>
      <c r="H55" s="96" t="str">
        <f>IF(MODULO!$E$89&lt;&gt;"",IF(C$48&gt;B55,IF(C$48&lt;=C55,(C$48-B55)*E55/100,(C55-B55)*E55/100),0),"")</f>
        <v/>
      </c>
      <c r="I55" s="97" t="str">
        <f>IF(MODULO!$E$89&lt;&gt;"",IF(G55&lt;&gt;0,G55+(H55-G55)*0.5,0),"")</f>
        <v/>
      </c>
    </row>
    <row r="56" spans="1:10" x14ac:dyDescent="0.25">
      <c r="B56" s="100" t="str">
        <f>IF(MODULO!$E$89&lt;&gt;"",$B$12,"")</f>
        <v/>
      </c>
      <c r="C56" s="100" t="str">
        <f>IF(MODULO!$E$89&lt;&gt;"",$C$12,"")</f>
        <v/>
      </c>
      <c r="D56" s="28" t="str">
        <f>IF(MODULO!$E$89&lt;&gt;"",$D$12,"")</f>
        <v/>
      </c>
      <c r="E56" s="28" t="str">
        <f>IF(MODULO!$E$89&lt;&gt;"",$E$12,"")</f>
        <v/>
      </c>
      <c r="F56" s="29" t="str">
        <f>IF(MODULO!$E$89&lt;&gt;"",$F$12,"")</f>
        <v/>
      </c>
      <c r="G56" s="96" t="str">
        <f>IF(MODULO!$E$89&lt;&gt;"",IF(C$48&gt;B56,IF(C$48&lt;=C56,(C$48-B56)*D56/100,(C56-B56)*D56/100),0),"")</f>
        <v/>
      </c>
      <c r="H56" s="96" t="str">
        <f>IF(MODULO!$E$89&lt;&gt;"",IF(C$48&gt;B56,IF(C$48&lt;=C56,(C$48-B56)*E56/100,(C56-B56)*E56/100),0),"")</f>
        <v/>
      </c>
      <c r="I56" s="97" t="str">
        <f>IF(MODULO!$E$89&lt;&gt;"",IF(G56&lt;&gt;0,G56+(H56-G56)*0.5,0),"")</f>
        <v/>
      </c>
    </row>
    <row r="57" spans="1:10" x14ac:dyDescent="0.25">
      <c r="B57" s="20"/>
      <c r="C57" s="20"/>
      <c r="D57" s="21"/>
      <c r="E57" s="21"/>
      <c r="F57" s="22" t="str">
        <f>IF(MODULO!$E$89&lt;&gt;"",$F$13,"")</f>
        <v/>
      </c>
      <c r="G57" s="98" t="str">
        <f>IF(MODULO!$E$89&lt;&gt;"",IF(SUM(G50:G56)&gt;145.12,SUM(G50:G56),145.12),"")</f>
        <v/>
      </c>
      <c r="H57" s="98" t="str">
        <f>IF(MODULO!$E$89&lt;&gt;"",IF(SUM(H50:H56)&gt;145.12,SUM(H50:H56),145.12),"")</f>
        <v/>
      </c>
      <c r="I57" s="98" t="str">
        <f>IF(MODULO!$E$89&lt;&gt;"",IF(SUM(I50:I56)&gt;145.12,SUM(I50:I56),145.12),"")</f>
        <v/>
      </c>
    </row>
    <row r="58" spans="1:10" x14ac:dyDescent="0.25">
      <c r="A58" s="7"/>
      <c r="B58" s="269" t="str">
        <f>IF(MODULO!$E$90&lt;&gt;"",CONCATENATE("Lotto n° ",MODULO!$E$90),"")</f>
        <v/>
      </c>
      <c r="C58" s="269"/>
      <c r="D58" s="269"/>
      <c r="E58" s="269"/>
      <c r="F58" s="269"/>
      <c r="G58" s="269"/>
      <c r="H58" s="269"/>
      <c r="I58" s="269"/>
      <c r="J58" s="7"/>
    </row>
    <row r="59" spans="1:10" x14ac:dyDescent="0.25">
      <c r="B59" s="16" t="str">
        <f>IF(MODULO!$E$90&lt;&gt;"",$B$4,"")</f>
        <v/>
      </c>
      <c r="C59" s="102" t="str">
        <f>IF(MODULO!$E$90&lt;&gt;"",MODULO!$F$90,"")</f>
        <v/>
      </c>
      <c r="D59" s="270" t="str">
        <f>IF(MODULO!$E$90&lt;&gt;"",$D$4,"")</f>
        <v/>
      </c>
      <c r="E59" s="270"/>
      <c r="F59" s="270"/>
      <c r="G59" s="270" t="str">
        <f>IF(MODULO!$E$90&lt;&gt;"",$G$4,"")</f>
        <v/>
      </c>
      <c r="H59" s="270"/>
      <c r="I59" s="270"/>
    </row>
    <row r="60" spans="1:10" x14ac:dyDescent="0.25">
      <c r="B60" s="17" t="str">
        <f>IF(MODULO!$E$90&lt;&gt;"",$B$5,"")</f>
        <v/>
      </c>
      <c r="C60" s="17" t="str">
        <f>IF(MODULO!$E$90&lt;&gt;"",$C$5,"")</f>
        <v/>
      </c>
      <c r="D60" s="23" t="str">
        <f>IF(MODULO!$E$90&lt;&gt;"",$D$5,"")</f>
        <v/>
      </c>
      <c r="E60" s="23" t="str">
        <f>IF(MODULO!$E$90&lt;&gt;"",$E$5,"")</f>
        <v/>
      </c>
      <c r="F60" s="23" t="str">
        <f>IF(MODULO!$E$90&lt;&gt;"",$F$5,"")</f>
        <v/>
      </c>
      <c r="G60" s="23" t="str">
        <f>IF(MODULO!$E$90&lt;&gt;"",$G$5,"")</f>
        <v/>
      </c>
      <c r="H60" s="23" t="str">
        <f>IF(MODULO!$E$90&lt;&gt;"",$H$5,"")</f>
        <v/>
      </c>
      <c r="I60" s="19" t="str">
        <f>IF(MODULO!$E$90&lt;&gt;"",$I$5,"")</f>
        <v/>
      </c>
    </row>
    <row r="61" spans="1:10" x14ac:dyDescent="0.25">
      <c r="B61" s="100" t="str">
        <f>IF(MODULO!$E$90&lt;&gt;"",$B$6,"")</f>
        <v/>
      </c>
      <c r="C61" s="100" t="str">
        <f>IF(MODULO!$E$90&lt;&gt;"",$C$6,"")</f>
        <v/>
      </c>
      <c r="D61" s="28" t="str">
        <f>IF(MODULO!$E$90&lt;&gt;"",$D$6,"")</f>
        <v/>
      </c>
      <c r="E61" s="28" t="str">
        <f>IF(MODULO!$E$90&lt;&gt;"",$E$6,"")</f>
        <v/>
      </c>
      <c r="F61" s="29" t="str">
        <f>IF(MODULO!$E$90&lt;&gt;"",$F$6,"")</f>
        <v/>
      </c>
      <c r="G61" s="96" t="str">
        <f>IF(MODULO!$E$90&lt;&gt;"",IF(C$59&gt;B61,IF(C$59&lt;=C61,(C$59-B61)*D61/100,(C61-B61)*D61/100),0),"")</f>
        <v/>
      </c>
      <c r="H61" s="96" t="str">
        <f>IF(MODULO!$E$90&lt;&gt;"",IF(C$59&gt;B61,IF(C$59&lt;=C61,(C$59-B61)*E61/100,(C61-B61)*E61/100),0),"")</f>
        <v/>
      </c>
      <c r="I61" s="97" t="str">
        <f>IF(MODULO!$E$90&lt;&gt;"",IF(G61&lt;&gt;0,G61+(H61-G61)*0.5,0),"")</f>
        <v/>
      </c>
    </row>
    <row r="62" spans="1:10" x14ac:dyDescent="0.25">
      <c r="B62" s="100" t="str">
        <f>IF(MODULO!$E$90&lt;&gt;"",$B$7,"")</f>
        <v/>
      </c>
      <c r="C62" s="100" t="str">
        <f>IF(MODULO!$E$90&lt;&gt;"",$C$7,"")</f>
        <v/>
      </c>
      <c r="D62" s="28" t="str">
        <f>IF(MODULO!$E$90&lt;&gt;"",$D$7,"")</f>
        <v/>
      </c>
      <c r="E62" s="28" t="str">
        <f>IF(MODULO!$E$90&lt;&gt;"",$E$7,"")</f>
        <v/>
      </c>
      <c r="F62" s="29" t="str">
        <f>IF(MODULO!$E$90&lt;&gt;"",$F$7,"")</f>
        <v/>
      </c>
      <c r="G62" s="96" t="str">
        <f>IF(MODULO!$E$90&lt;&gt;"",IF(C$59&gt;B62,IF(C$59&lt;=C62,(C$59-B62)*D62/100,(C62-B62)*D62/100),0),"")</f>
        <v/>
      </c>
      <c r="H62" s="96" t="str">
        <f>IF(MODULO!$E$90&lt;&gt;"",IF(C$59&gt;B62,IF(C$59&lt;=C62,(C$59-B62)*E62/100,(C62-B62)*E62/100),0),"")</f>
        <v/>
      </c>
      <c r="I62" s="97" t="str">
        <f>IF(MODULO!$E$90&lt;&gt;"",IF(G62&lt;&gt;0,G62+(H62-G62)*0.5,0),"")</f>
        <v/>
      </c>
    </row>
    <row r="63" spans="1:10" x14ac:dyDescent="0.25">
      <c r="B63" s="100" t="str">
        <f>IF(MODULO!$E$90&lt;&gt;"",$B$8,"")</f>
        <v/>
      </c>
      <c r="C63" s="100" t="str">
        <f>IF(MODULO!$E$90&lt;&gt;"",$C$8,"")</f>
        <v/>
      </c>
      <c r="D63" s="28" t="str">
        <f>IF(MODULO!$E$90&lt;&gt;"",$D$8,"")</f>
        <v/>
      </c>
      <c r="E63" s="28" t="str">
        <f>IF(MODULO!$E$90&lt;&gt;"",$E$8,"")</f>
        <v/>
      </c>
      <c r="F63" s="29" t="str">
        <f>IF(MODULO!$E$90&lt;&gt;"",$F$8,"")</f>
        <v/>
      </c>
      <c r="G63" s="96" t="str">
        <f>IF(MODULO!$E$90&lt;&gt;"",IF(C$59&gt;B63,IF(C$59&lt;=C63,(C$59-B63)*D63/100,(C63-B63)*D63/100),0),"")</f>
        <v/>
      </c>
      <c r="H63" s="96" t="str">
        <f>IF(MODULO!$E$90&lt;&gt;"",IF(C$59&gt;B63,IF(C$59&lt;=C63,(C$59-B63)*E63/100,(C63-B63)*E63/100),0),"")</f>
        <v/>
      </c>
      <c r="I63" s="97" t="str">
        <f>IF(MODULO!$E$90&lt;&gt;"",IF(G63&lt;&gt;0,G63+(H63-G63)*0.5,0),"")</f>
        <v/>
      </c>
    </row>
    <row r="64" spans="1:10" x14ac:dyDescent="0.25">
      <c r="B64" s="100" t="str">
        <f>IF(MODULO!$E$90&lt;&gt;"",$B$9,"")</f>
        <v/>
      </c>
      <c r="C64" s="100" t="str">
        <f>IF(MODULO!$E$90&lt;&gt;"",$C$9,"")</f>
        <v/>
      </c>
      <c r="D64" s="28" t="str">
        <f>IF(MODULO!$E$90&lt;&gt;"",$D$9,"")</f>
        <v/>
      </c>
      <c r="E64" s="28" t="str">
        <f>IF(MODULO!$E$90&lt;&gt;"",$E$9,"")</f>
        <v/>
      </c>
      <c r="F64" s="29" t="str">
        <f>IF(MODULO!$E$90&lt;&gt;"",$F$9,"")</f>
        <v/>
      </c>
      <c r="G64" s="96" t="str">
        <f>IF(MODULO!$E$90&lt;&gt;"",IF(C$59&gt;B64,IF(C$59&lt;=C64,(C$59-B64)*D64/100,(C64-B64)*D64/100),0),"")</f>
        <v/>
      </c>
      <c r="H64" s="96" t="str">
        <f>IF(MODULO!$E$90&lt;&gt;"",IF(C$59&gt;B64,IF(C$59&lt;=C64,(C$59-B64)*E64/100,(C64-B64)*E64/100),0),"")</f>
        <v/>
      </c>
      <c r="I64" s="97" t="str">
        <f>IF(MODULO!$E$90&lt;&gt;"",IF(G64&lt;&gt;0,G64+(H64-G64)*0.5,0),"")</f>
        <v/>
      </c>
    </row>
    <row r="65" spans="1:10" x14ac:dyDescent="0.25">
      <c r="B65" s="100" t="str">
        <f>IF(MODULO!$E$90&lt;&gt;"",$B$10,"")</f>
        <v/>
      </c>
      <c r="C65" s="100" t="str">
        <f>IF(MODULO!$E$90&lt;&gt;"",$C$10,"")</f>
        <v/>
      </c>
      <c r="D65" s="28" t="str">
        <f>IF(MODULO!$E$90&lt;&gt;"",$D$10,"")</f>
        <v/>
      </c>
      <c r="E65" s="28" t="str">
        <f>IF(MODULO!$E$90&lt;&gt;"",$E$10,"")</f>
        <v/>
      </c>
      <c r="F65" s="29" t="str">
        <f>IF(MODULO!$E$90&lt;&gt;"",$F$10,"")</f>
        <v/>
      </c>
      <c r="G65" s="96" t="str">
        <f>IF(MODULO!$E$90&lt;&gt;"",IF(C$59&gt;B65,IF(C$59&lt;=C65,(C$59-B65)*D65/100,(C65-B65)*D65/100),0),"")</f>
        <v/>
      </c>
      <c r="H65" s="96" t="str">
        <f>IF(MODULO!$E$90&lt;&gt;"",IF(C$59&gt;B65,IF(C$59&lt;=C65,(C$59-B65)*E65/100,(C65-B65)*E65/100),0),"")</f>
        <v/>
      </c>
      <c r="I65" s="97" t="str">
        <f>IF(MODULO!$E$90&lt;&gt;"",IF(G65&lt;&gt;0,G65+(H65-G65)*0.5,0),"")</f>
        <v/>
      </c>
    </row>
    <row r="66" spans="1:10" x14ac:dyDescent="0.25">
      <c r="B66" s="100" t="str">
        <f>IF(MODULO!$E$90&lt;&gt;"",$B$11,"")</f>
        <v/>
      </c>
      <c r="C66" s="100" t="str">
        <f>IF(MODULO!$E$90&lt;&gt;"",$C$11,"")</f>
        <v/>
      </c>
      <c r="D66" s="28" t="str">
        <f>IF(MODULO!$E$90&lt;&gt;"",$D$11,"")</f>
        <v/>
      </c>
      <c r="E66" s="28" t="str">
        <f>IF(MODULO!$E$90&lt;&gt;"",$E$11,"")</f>
        <v/>
      </c>
      <c r="F66" s="29" t="str">
        <f>IF(MODULO!$E$90&lt;&gt;"",$F$11,"")</f>
        <v/>
      </c>
      <c r="G66" s="96" t="str">
        <f>IF(MODULO!$E$90&lt;&gt;"",IF(C$59&gt;B66,IF(C$59&lt;=C66,(C$59-B66)*D66/100,(C66-B66)*D66/100),0),"")</f>
        <v/>
      </c>
      <c r="H66" s="96" t="str">
        <f>IF(MODULO!$E$90&lt;&gt;"",IF(C$59&gt;B66,IF(C$59&lt;=C66,(C$59-B66)*E66/100,(C66-B66)*E66/100),0),"")</f>
        <v/>
      </c>
      <c r="I66" s="97" t="str">
        <f>IF(MODULO!$E$90&lt;&gt;"",IF(G66&lt;&gt;0,G66+(H66-G66)*0.5,0),"")</f>
        <v/>
      </c>
    </row>
    <row r="67" spans="1:10" x14ac:dyDescent="0.25">
      <c r="B67" s="100" t="str">
        <f>IF(MODULO!$E$90&lt;&gt;"",$B$12,"")</f>
        <v/>
      </c>
      <c r="C67" s="100" t="str">
        <f>IF(MODULO!$E$90&lt;&gt;"",$C$12,"")</f>
        <v/>
      </c>
      <c r="D67" s="28" t="str">
        <f>IF(MODULO!$E$90&lt;&gt;"",$D$12,"")</f>
        <v/>
      </c>
      <c r="E67" s="28" t="str">
        <f>IF(MODULO!$E$90&lt;&gt;"",$E$12,"")</f>
        <v/>
      </c>
      <c r="F67" s="29" t="str">
        <f>IF(MODULO!$E$90&lt;&gt;"",$F$12,"")</f>
        <v/>
      </c>
      <c r="G67" s="96" t="str">
        <f>IF(MODULO!$E$90&lt;&gt;"",IF(C$59&gt;B67,IF(C$59&lt;=C67,(C$59-B67)*D67/100,(C67-B67)*D67/100),0),"")</f>
        <v/>
      </c>
      <c r="H67" s="96" t="str">
        <f>IF(MODULO!$E$90&lt;&gt;"",IF(C$59&gt;B67,IF(C$59&lt;=C67,(C$59-B67)*E67/100,(C67-B67)*E67/100),0),"")</f>
        <v/>
      </c>
      <c r="I67" s="97" t="str">
        <f>IF(MODULO!$E$90&lt;&gt;"",IF(G67&lt;&gt;0,G67+(H67-G67)*0.5,0),"")</f>
        <v/>
      </c>
    </row>
    <row r="68" spans="1:10" x14ac:dyDescent="0.25">
      <c r="B68" s="20"/>
      <c r="C68" s="20"/>
      <c r="D68" s="21"/>
      <c r="E68" s="21"/>
      <c r="F68" s="22" t="str">
        <f>IF(MODULO!$E$90&lt;&gt;"",$F$13,"")</f>
        <v/>
      </c>
      <c r="G68" s="98" t="str">
        <f>IF(MODULO!$E$90&lt;&gt;"",IF(SUM(G61:G67)&gt;145.12,SUM(G61:G67),145.12),"")</f>
        <v/>
      </c>
      <c r="H68" s="98" t="str">
        <f>IF(MODULO!$E$90&lt;&gt;"",IF(SUM(H61:H67)&gt;145.12,SUM(H61:H67),145.12),"")</f>
        <v/>
      </c>
      <c r="I68" s="98" t="str">
        <f>IF(MODULO!$E$90&lt;&gt;"",IF(SUM(I61:I67)&gt;145.12,SUM(I61:I67),145.12),"")</f>
        <v/>
      </c>
    </row>
    <row r="69" spans="1:10" x14ac:dyDescent="0.25">
      <c r="A69" s="7"/>
      <c r="B69" s="269" t="str">
        <f>IF(MODULO!$E$91&lt;&gt;"",CONCATENATE("Lotto n° ",MODULO!$E$91),"")</f>
        <v/>
      </c>
      <c r="C69" s="269"/>
      <c r="D69" s="269"/>
      <c r="E69" s="269"/>
      <c r="F69" s="269"/>
      <c r="G69" s="269"/>
      <c r="H69" s="269"/>
      <c r="I69" s="269"/>
      <c r="J69" s="7"/>
    </row>
    <row r="70" spans="1:10" x14ac:dyDescent="0.25">
      <c r="B70" s="16" t="str">
        <f>IF(MODULO!$E$91&lt;&gt;"",$B$4,"")</f>
        <v/>
      </c>
      <c r="C70" s="102" t="str">
        <f>IF(MODULO!$E$91&lt;&gt;"",MODULO!$F$91,"")</f>
        <v/>
      </c>
      <c r="D70" s="270" t="str">
        <f>IF(MODULO!$E$91&lt;&gt;"",$D$4,"")</f>
        <v/>
      </c>
      <c r="E70" s="270"/>
      <c r="F70" s="270"/>
      <c r="G70" s="270" t="str">
        <f>IF(MODULO!$E$91&lt;&gt;"",$G$4,"")</f>
        <v/>
      </c>
      <c r="H70" s="270"/>
      <c r="I70" s="270"/>
    </row>
    <row r="71" spans="1:10" x14ac:dyDescent="0.25">
      <c r="B71" s="17" t="str">
        <f>IF(MODULO!$E$91&lt;&gt;"",$B$5,"")</f>
        <v/>
      </c>
      <c r="C71" s="17" t="str">
        <f>IF(MODULO!$E$91&lt;&gt;"",$C$5,"")</f>
        <v/>
      </c>
      <c r="D71" s="23" t="str">
        <f>IF(MODULO!$E$91&lt;&gt;"",$D$5,"")</f>
        <v/>
      </c>
      <c r="E71" s="23" t="str">
        <f>IF(MODULO!$E$91&lt;&gt;"",$E$5,"")</f>
        <v/>
      </c>
      <c r="F71" s="23" t="str">
        <f>IF(MODULO!$E$91&lt;&gt;"",$F$5,"")</f>
        <v/>
      </c>
      <c r="G71" s="23" t="str">
        <f>IF(MODULO!$E$91&lt;&gt;"",$G$5,"")</f>
        <v/>
      </c>
      <c r="H71" s="23" t="str">
        <f>IF(MODULO!$E$91&lt;&gt;"",$H$5,"")</f>
        <v/>
      </c>
      <c r="I71" s="19" t="str">
        <f>IF(MODULO!$E$91&lt;&gt;"",$I$5,"")</f>
        <v/>
      </c>
    </row>
    <row r="72" spans="1:10" x14ac:dyDescent="0.25">
      <c r="B72" s="100" t="str">
        <f>IF(MODULO!$E$91&lt;&gt;"",$B$6,"")</f>
        <v/>
      </c>
      <c r="C72" s="100" t="str">
        <f>IF(MODULO!$E$91&lt;&gt;"",$C$6,"")</f>
        <v/>
      </c>
      <c r="D72" s="28" t="str">
        <f>IF(MODULO!$E$91&lt;&gt;"",$D$6,"")</f>
        <v/>
      </c>
      <c r="E72" s="28" t="str">
        <f>IF(MODULO!$E$91&lt;&gt;"",$E$6,"")</f>
        <v/>
      </c>
      <c r="F72" s="29" t="str">
        <f>IF(MODULO!$E$91&lt;&gt;"",$F$6,"")</f>
        <v/>
      </c>
      <c r="G72" s="96" t="str">
        <f>IF(MODULO!$E$91&lt;&gt;"",IF(C$70&gt;B72,IF(C$70&lt;=C72,(C$70-B72)*D72/100,(C72-B72)*D72/100),0),"")</f>
        <v/>
      </c>
      <c r="H72" s="96" t="str">
        <f>IF(MODULO!$E$91&lt;&gt;"",IF(C$70&gt;B72,IF(C$70&lt;=C72,(C$70-B72)*E72/100,(C72-B72)*E72/100),0),"")</f>
        <v/>
      </c>
      <c r="I72" s="97" t="str">
        <f>IF(MODULO!$E$91&lt;&gt;"",IF(G72&lt;&gt;0,G72+(H72-G72)*0.5,0),"")</f>
        <v/>
      </c>
    </row>
    <row r="73" spans="1:10" x14ac:dyDescent="0.25">
      <c r="B73" s="100" t="str">
        <f>IF(MODULO!$E$91&lt;&gt;"",$B$7,"")</f>
        <v/>
      </c>
      <c r="C73" s="100" t="str">
        <f>IF(MODULO!$E$91&lt;&gt;"",$C$7,"")</f>
        <v/>
      </c>
      <c r="D73" s="28" t="str">
        <f>IF(MODULO!$E$91&lt;&gt;"",$D$7,"")</f>
        <v/>
      </c>
      <c r="E73" s="28" t="str">
        <f>IF(MODULO!$E$91&lt;&gt;"",$E$7,"")</f>
        <v/>
      </c>
      <c r="F73" s="29" t="str">
        <f>IF(MODULO!$E$91&lt;&gt;"",$F$7,"")</f>
        <v/>
      </c>
      <c r="G73" s="96" t="str">
        <f>IF(MODULO!$E$91&lt;&gt;"",IF(C$70&gt;B73,IF(C$70&lt;=C73,(C$70-B73)*D73/100,(C73-B73)*D73/100),0),"")</f>
        <v/>
      </c>
      <c r="H73" s="96" t="str">
        <f>IF(MODULO!$E$91&lt;&gt;"",IF(C$70&gt;B73,IF(C$70&lt;=C73,(C$70-B73)*E73/100,(C73-B73)*E73/100),0),"")</f>
        <v/>
      </c>
      <c r="I73" s="97" t="str">
        <f>IF(MODULO!$E$91&lt;&gt;"",IF(G73&lt;&gt;0,G73+(H73-G73)*0.5,0),"")</f>
        <v/>
      </c>
    </row>
    <row r="74" spans="1:10" x14ac:dyDescent="0.25">
      <c r="B74" s="100" t="str">
        <f>IF(MODULO!$E$91&lt;&gt;"",$B$8,"")</f>
        <v/>
      </c>
      <c r="C74" s="100" t="str">
        <f>IF(MODULO!$E$91&lt;&gt;"",$C$8,"")</f>
        <v/>
      </c>
      <c r="D74" s="28" t="str">
        <f>IF(MODULO!$E$91&lt;&gt;"",$D$8,"")</f>
        <v/>
      </c>
      <c r="E74" s="28" t="str">
        <f>IF(MODULO!$E$91&lt;&gt;"",$E$8,"")</f>
        <v/>
      </c>
      <c r="F74" s="29" t="str">
        <f>IF(MODULO!$E$91&lt;&gt;"",$F$8,"")</f>
        <v/>
      </c>
      <c r="G74" s="96" t="str">
        <f>IF(MODULO!$E$91&lt;&gt;"",IF(C$70&gt;B74,IF(C$70&lt;=C74,(C$70-B74)*D74/100,(C74-B74)*D74/100),0),"")</f>
        <v/>
      </c>
      <c r="H74" s="96" t="str">
        <f>IF(MODULO!$E$91&lt;&gt;"",IF(C$70&gt;B74,IF(C$70&lt;=C74,(C$70-B74)*E74/100,(C74-B74)*E74/100),0),"")</f>
        <v/>
      </c>
      <c r="I74" s="97" t="str">
        <f>IF(MODULO!$E$91&lt;&gt;"",IF(G74&lt;&gt;0,G74+(H74-G74)*0.5,0),"")</f>
        <v/>
      </c>
    </row>
    <row r="75" spans="1:10" x14ac:dyDescent="0.25">
      <c r="B75" s="100" t="str">
        <f>IF(MODULO!$E$91&lt;&gt;"",$B$9,"")</f>
        <v/>
      </c>
      <c r="C75" s="100" t="str">
        <f>IF(MODULO!$E$91&lt;&gt;"",$C$9,"")</f>
        <v/>
      </c>
      <c r="D75" s="28" t="str">
        <f>IF(MODULO!$E$91&lt;&gt;"",$D$9,"")</f>
        <v/>
      </c>
      <c r="E75" s="28" t="str">
        <f>IF(MODULO!$E$91&lt;&gt;"",$E$9,"")</f>
        <v/>
      </c>
      <c r="F75" s="29" t="str">
        <f>IF(MODULO!$E$91&lt;&gt;"",$F$9,"")</f>
        <v/>
      </c>
      <c r="G75" s="96" t="str">
        <f>IF(MODULO!$E$91&lt;&gt;"",IF(C$70&gt;B75,IF(C$70&lt;=C75,(C$70-B75)*D75/100,(C75-B75)*D75/100),0),"")</f>
        <v/>
      </c>
      <c r="H75" s="96" t="str">
        <f>IF(MODULO!$E$91&lt;&gt;"",IF(C$70&gt;B75,IF(C$70&lt;=C75,(C$70-B75)*E75/100,(C75-B75)*E75/100),0),"")</f>
        <v/>
      </c>
      <c r="I75" s="97" t="str">
        <f>IF(MODULO!$E$91&lt;&gt;"",IF(G75&lt;&gt;0,G75+(H75-G75)*0.5,0),"")</f>
        <v/>
      </c>
    </row>
    <row r="76" spans="1:10" x14ac:dyDescent="0.25">
      <c r="B76" s="100" t="str">
        <f>IF(MODULO!$E$91&lt;&gt;"",$B$10,"")</f>
        <v/>
      </c>
      <c r="C76" s="100" t="str">
        <f>IF(MODULO!$E$91&lt;&gt;"",$C$10,"")</f>
        <v/>
      </c>
      <c r="D76" s="28" t="str">
        <f>IF(MODULO!$E$91&lt;&gt;"",$D$10,"")</f>
        <v/>
      </c>
      <c r="E76" s="28" t="str">
        <f>IF(MODULO!$E$91&lt;&gt;"",$E$10,"")</f>
        <v/>
      </c>
      <c r="F76" s="29" t="str">
        <f>IF(MODULO!$E$91&lt;&gt;"",$F$10,"")</f>
        <v/>
      </c>
      <c r="G76" s="96" t="str">
        <f>IF(MODULO!$E$91&lt;&gt;"",IF(C$70&gt;B76,IF(C$70&lt;=C76,(C$70-B76)*D76/100,(C76-B76)*D76/100),0),"")</f>
        <v/>
      </c>
      <c r="H76" s="96" t="str">
        <f>IF(MODULO!$E$91&lt;&gt;"",IF(C$70&gt;B76,IF(C$70&lt;=C76,(C$70-B76)*E76/100,(C76-B76)*E76/100),0),"")</f>
        <v/>
      </c>
      <c r="I76" s="97" t="str">
        <f>IF(MODULO!$E$91&lt;&gt;"",IF(G76&lt;&gt;0,G76+(H76-G76)*0.5,0),"")</f>
        <v/>
      </c>
    </row>
    <row r="77" spans="1:10" x14ac:dyDescent="0.25">
      <c r="B77" s="100" t="str">
        <f>IF(MODULO!$E$91&lt;&gt;"",$B$11,"")</f>
        <v/>
      </c>
      <c r="C77" s="100" t="str">
        <f>IF(MODULO!$E$91&lt;&gt;"",$C$11,"")</f>
        <v/>
      </c>
      <c r="D77" s="28" t="str">
        <f>IF(MODULO!$E$91&lt;&gt;"",$D$11,"")</f>
        <v/>
      </c>
      <c r="E77" s="28" t="str">
        <f>IF(MODULO!$E$91&lt;&gt;"",$E$11,"")</f>
        <v/>
      </c>
      <c r="F77" s="29" t="str">
        <f>IF(MODULO!$E$91&lt;&gt;"",$F$11,"")</f>
        <v/>
      </c>
      <c r="G77" s="96" t="str">
        <f>IF(MODULO!$E$91&lt;&gt;"",IF(C$70&gt;B77,IF(C$70&lt;=C77,(C$70-B77)*D77/100,(C77-B77)*D77/100),0),"")</f>
        <v/>
      </c>
      <c r="H77" s="96" t="str">
        <f>IF(MODULO!$E$91&lt;&gt;"",IF(C$70&gt;B77,IF(C$70&lt;=C77,(C$70-B77)*E77/100,(C77-B77)*E77/100),0),"")</f>
        <v/>
      </c>
      <c r="I77" s="97" t="str">
        <f>IF(MODULO!$E$91&lt;&gt;"",IF(G77&lt;&gt;0,G77+(H77-G77)*0.5,0),"")</f>
        <v/>
      </c>
    </row>
    <row r="78" spans="1:10" x14ac:dyDescent="0.25">
      <c r="B78" s="100" t="str">
        <f>IF(MODULO!$E$91&lt;&gt;"",$B$12,"")</f>
        <v/>
      </c>
      <c r="C78" s="100" t="str">
        <f>IF(MODULO!$E$91&lt;&gt;"",$C$12,"")</f>
        <v/>
      </c>
      <c r="D78" s="28" t="str">
        <f>IF(MODULO!$E$91&lt;&gt;"",$D$12,"")</f>
        <v/>
      </c>
      <c r="E78" s="28" t="str">
        <f>IF(MODULO!$E$91&lt;&gt;"",$E$12,"")</f>
        <v/>
      </c>
      <c r="F78" s="29" t="str">
        <f>IF(MODULO!$E$91&lt;&gt;"",$F$12,"")</f>
        <v/>
      </c>
      <c r="G78" s="96" t="str">
        <f>IF(MODULO!$E$91&lt;&gt;"",IF(C$70&gt;B78,IF(C$70&lt;=C78,(C$70-B78)*D78/100,(C78-B78)*D78/100),0),"")</f>
        <v/>
      </c>
      <c r="H78" s="96" t="str">
        <f>IF(MODULO!$E$91&lt;&gt;"",IF(C$70&gt;B78,IF(C$70&lt;=C78,(C$70-B78)*E78/100,(C78-B78)*E78/100),0),"")</f>
        <v/>
      </c>
      <c r="I78" s="97" t="str">
        <f>IF(MODULO!$E$91&lt;&gt;"",IF(G78&lt;&gt;0,G78+(H78-G78)*0.5,0),"")</f>
        <v/>
      </c>
    </row>
    <row r="79" spans="1:10" x14ac:dyDescent="0.25">
      <c r="B79" s="20"/>
      <c r="C79" s="20"/>
      <c r="D79" s="21"/>
      <c r="E79" s="21"/>
      <c r="F79" s="22" t="str">
        <f>IF(MODULO!$E$91&lt;&gt;"",$F$13,"")</f>
        <v/>
      </c>
      <c r="G79" s="98" t="str">
        <f>IF(MODULO!$E$91&lt;&gt;"",IF(SUM(G72:G78)&gt;145.12,SUM(G72:G78),145.12),"")</f>
        <v/>
      </c>
      <c r="H79" s="98" t="str">
        <f>IF(MODULO!$E$91&lt;&gt;"",IF(SUM(H72:H78)&gt;145.12,SUM(H72:H78),145.12),"")</f>
        <v/>
      </c>
      <c r="I79" s="98" t="str">
        <f>IF(MODULO!$E$91&lt;&gt;"",IF(SUM(I72:I78)&gt;145.12,SUM(I72:I78),145.12),"")</f>
        <v/>
      </c>
    </row>
    <row r="80" spans="1:10" x14ac:dyDescent="0.25">
      <c r="A80" s="7"/>
      <c r="B80" s="269" t="str">
        <f>IF(MODULO!$E$92&lt;&gt;"",CONCATENATE("Lotto n° ",MODULO!$E$92),"")</f>
        <v/>
      </c>
      <c r="C80" s="269"/>
      <c r="D80" s="269"/>
      <c r="E80" s="269"/>
      <c r="F80" s="269"/>
      <c r="G80" s="269"/>
      <c r="H80" s="269"/>
      <c r="I80" s="269"/>
      <c r="J80" s="7"/>
    </row>
    <row r="81" spans="2:9" x14ac:dyDescent="0.25">
      <c r="B81" s="16" t="str">
        <f>IF(MODULO!$E$92&lt;&gt;"",$B$4,"")</f>
        <v/>
      </c>
      <c r="C81" s="102" t="str">
        <f>IF(MODULO!$E$92&lt;&gt;"",MODULO!$F$92,"")</f>
        <v/>
      </c>
      <c r="D81" s="270" t="str">
        <f>IF(MODULO!$E$92&lt;&gt;"",$D$4,"")</f>
        <v/>
      </c>
      <c r="E81" s="270"/>
      <c r="F81" s="270"/>
      <c r="G81" s="270" t="str">
        <f>IF(MODULO!$E$92&lt;&gt;"",$G$4,"")</f>
        <v/>
      </c>
      <c r="H81" s="270"/>
      <c r="I81" s="270"/>
    </row>
    <row r="82" spans="2:9" x14ac:dyDescent="0.25">
      <c r="B82" s="17" t="str">
        <f>IF(MODULO!$E$92&lt;&gt;"",$B$5,"")</f>
        <v/>
      </c>
      <c r="C82" s="17" t="str">
        <f>IF(MODULO!$E$92&lt;&gt;"",$C$5,"")</f>
        <v/>
      </c>
      <c r="D82" s="23" t="str">
        <f>IF(MODULO!$E$92&lt;&gt;"",$D$5,"")</f>
        <v/>
      </c>
      <c r="E82" s="23" t="str">
        <f>IF(MODULO!$E$92&lt;&gt;"",$E$5,"")</f>
        <v/>
      </c>
      <c r="F82" s="23" t="str">
        <f>IF(MODULO!$E$92&lt;&gt;"",$F$5,"")</f>
        <v/>
      </c>
      <c r="G82" s="23" t="str">
        <f>IF(MODULO!$E$92&lt;&gt;"",$G$5,"")</f>
        <v/>
      </c>
      <c r="H82" s="23" t="str">
        <f>IF(MODULO!$E$92&lt;&gt;"",$H$5,"")</f>
        <v/>
      </c>
      <c r="I82" s="19" t="str">
        <f>IF(MODULO!$E$92&lt;&gt;"",$I$5,"")</f>
        <v/>
      </c>
    </row>
    <row r="83" spans="2:9" x14ac:dyDescent="0.25">
      <c r="B83" s="100" t="str">
        <f>IF(MODULO!$E$92&lt;&gt;"",$B$6,"")</f>
        <v/>
      </c>
      <c r="C83" s="100" t="str">
        <f>IF(MODULO!$E$92&lt;&gt;"",$C$6,"")</f>
        <v/>
      </c>
      <c r="D83" s="28" t="str">
        <f>IF(MODULO!$E$92&lt;&gt;"",$D$6,"")</f>
        <v/>
      </c>
      <c r="E83" s="28" t="str">
        <f>IF(MODULO!$E$92&lt;&gt;"",$E$6,"")</f>
        <v/>
      </c>
      <c r="F83" s="29" t="str">
        <f>IF(MODULO!$E$92&lt;&gt;"",$F$6,"")</f>
        <v/>
      </c>
      <c r="G83" s="96" t="str">
        <f>IF(MODULO!$E$92&lt;&gt;"",IF(C$81&gt;B83,IF(C$81&lt;=C83,(C$81-B83)*D83/100,(C83-B83)*D83/100),0),"")</f>
        <v/>
      </c>
      <c r="H83" s="96" t="str">
        <f>IF(MODULO!$E$92&lt;&gt;"",IF(C$81&gt;B83,IF(C$81&lt;=C83,(C$81-B83)*E83/100,(C83-B83)*E83/100),0),"")</f>
        <v/>
      </c>
      <c r="I83" s="97" t="str">
        <f>IF(MODULO!$E$92&lt;&gt;"",IF(G83&lt;&gt;0,G83+(H83-G83)*0.5,0),"")</f>
        <v/>
      </c>
    </row>
    <row r="84" spans="2:9" x14ac:dyDescent="0.25">
      <c r="B84" s="100" t="str">
        <f>IF(MODULO!$E$92&lt;&gt;"",$B$7,"")</f>
        <v/>
      </c>
      <c r="C84" s="100" t="str">
        <f>IF(MODULO!$E$92&lt;&gt;"",$C$7,"")</f>
        <v/>
      </c>
      <c r="D84" s="28" t="str">
        <f>IF(MODULO!$E$92&lt;&gt;"",$D$7,"")</f>
        <v/>
      </c>
      <c r="E84" s="28" t="str">
        <f>IF(MODULO!$E$92&lt;&gt;"",$E$7,"")</f>
        <v/>
      </c>
      <c r="F84" s="29" t="str">
        <f>IF(MODULO!$E$92&lt;&gt;"",$F$7,"")</f>
        <v/>
      </c>
      <c r="G84" s="96" t="str">
        <f>IF(MODULO!$E$92&lt;&gt;"",IF(C$81&gt;B84,IF(C$81&lt;=C84,(C$81-B84)*D84/100,(C84-B84)*D84/100),0),"")</f>
        <v/>
      </c>
      <c r="H84" s="96" t="str">
        <f>IF(MODULO!$E$92&lt;&gt;"",IF(C$81&gt;B84,IF(C$81&lt;=C84,(C$81-B84)*E84/100,(C84-B84)*E84/100),0),"")</f>
        <v/>
      </c>
      <c r="I84" s="97" t="str">
        <f>IF(MODULO!$E$92&lt;&gt;"",IF(G84&lt;&gt;0,G84+(H84-G84)*0.5,0),"")</f>
        <v/>
      </c>
    </row>
    <row r="85" spans="2:9" x14ac:dyDescent="0.25">
      <c r="B85" s="100" t="str">
        <f>IF(MODULO!$E$92&lt;&gt;"",$B$8,"")</f>
        <v/>
      </c>
      <c r="C85" s="100" t="str">
        <f>IF(MODULO!$E$92&lt;&gt;"",$C$8,"")</f>
        <v/>
      </c>
      <c r="D85" s="28" t="str">
        <f>IF(MODULO!$E$92&lt;&gt;"",$D$8,"")</f>
        <v/>
      </c>
      <c r="E85" s="28" t="str">
        <f>IF(MODULO!$E$92&lt;&gt;"",$E$8,"")</f>
        <v/>
      </c>
      <c r="F85" s="29" t="str">
        <f>IF(MODULO!$E$92&lt;&gt;"",$F$8,"")</f>
        <v/>
      </c>
      <c r="G85" s="96" t="str">
        <f>IF(MODULO!$E$92&lt;&gt;"",IF(C$81&gt;B85,IF(C$81&lt;=C85,(C$81-B85)*D85/100,(C85-B85)*D85/100),0),"")</f>
        <v/>
      </c>
      <c r="H85" s="96" t="str">
        <f>IF(MODULO!$E$92&lt;&gt;"",IF(C$81&gt;B85,IF(C$81&lt;=C85,(C$81-B85)*E85/100,(C85-B85)*E85/100),0),"")</f>
        <v/>
      </c>
      <c r="I85" s="97" t="str">
        <f>IF(MODULO!$E$92&lt;&gt;"",IF(G85&lt;&gt;0,G85+(H85-G85)*0.5,0),"")</f>
        <v/>
      </c>
    </row>
    <row r="86" spans="2:9" x14ac:dyDescent="0.25">
      <c r="B86" s="100" t="str">
        <f>IF(MODULO!$E$92&lt;&gt;"",$B$9,"")</f>
        <v/>
      </c>
      <c r="C86" s="100" t="str">
        <f>IF(MODULO!$E$92&lt;&gt;"",$C$9,"")</f>
        <v/>
      </c>
      <c r="D86" s="28" t="str">
        <f>IF(MODULO!$E$92&lt;&gt;"",$D$9,"")</f>
        <v/>
      </c>
      <c r="E86" s="28" t="str">
        <f>IF(MODULO!$E$92&lt;&gt;"",$E$9,"")</f>
        <v/>
      </c>
      <c r="F86" s="29" t="str">
        <f>IF(MODULO!$E$92&lt;&gt;"",$F$9,"")</f>
        <v/>
      </c>
      <c r="G86" s="96" t="str">
        <f>IF(MODULO!$E$92&lt;&gt;"",IF(C$81&gt;B86,IF(C$81&lt;=C86,(C$81-B86)*D86/100,(C86-B86)*D86/100),0),"")</f>
        <v/>
      </c>
      <c r="H86" s="96" t="str">
        <f>IF(MODULO!$E$92&lt;&gt;"",IF(C$81&gt;B86,IF(C$81&lt;=C86,(C$81-B86)*E86/100,(C86-B86)*E86/100),0),"")</f>
        <v/>
      </c>
      <c r="I86" s="97" t="str">
        <f>IF(MODULO!$E$92&lt;&gt;"",IF(G86&lt;&gt;0,G86+(H86-G86)*0.5,0),"")</f>
        <v/>
      </c>
    </row>
    <row r="87" spans="2:9" x14ac:dyDescent="0.25">
      <c r="B87" s="100" t="str">
        <f>IF(MODULO!$E$92&lt;&gt;"",$B$10,"")</f>
        <v/>
      </c>
      <c r="C87" s="100" t="str">
        <f>IF(MODULO!$E$92&lt;&gt;"",$C$10,"")</f>
        <v/>
      </c>
      <c r="D87" s="28" t="str">
        <f>IF(MODULO!$E$92&lt;&gt;"",$D$10,"")</f>
        <v/>
      </c>
      <c r="E87" s="28" t="str">
        <f>IF(MODULO!$E$92&lt;&gt;"",$E$10,"")</f>
        <v/>
      </c>
      <c r="F87" s="29" t="str">
        <f>IF(MODULO!$E$92&lt;&gt;"",$F$10,"")</f>
        <v/>
      </c>
      <c r="G87" s="96" t="str">
        <f>IF(MODULO!$E$92&lt;&gt;"",IF(C$81&gt;B87,IF(C$81&lt;=C87,(C$81-B87)*D87/100,(C87-B87)*D87/100),0),"")</f>
        <v/>
      </c>
      <c r="H87" s="96" t="str">
        <f>IF(MODULO!$E$92&lt;&gt;"",IF(C$81&gt;B87,IF(C$81&lt;=C87,(C$81-B87)*E87/100,(C87-B87)*E87/100),0),"")</f>
        <v/>
      </c>
      <c r="I87" s="97" t="str">
        <f>IF(MODULO!$E$92&lt;&gt;"",IF(G87&lt;&gt;0,G87+(H87-G87)*0.5,0),"")</f>
        <v/>
      </c>
    </row>
    <row r="88" spans="2:9" x14ac:dyDescent="0.25">
      <c r="B88" s="100" t="str">
        <f>IF(MODULO!$E$92&lt;&gt;"",$B$11,"")</f>
        <v/>
      </c>
      <c r="C88" s="100" t="str">
        <f>IF(MODULO!$E$92&lt;&gt;"",$C$11,"")</f>
        <v/>
      </c>
      <c r="D88" s="28" t="str">
        <f>IF(MODULO!$E$92&lt;&gt;"",$D$11,"")</f>
        <v/>
      </c>
      <c r="E88" s="28" t="str">
        <f>IF(MODULO!$E$92&lt;&gt;"",$E$11,"")</f>
        <v/>
      </c>
      <c r="F88" s="29" t="str">
        <f>IF(MODULO!$E$92&lt;&gt;"",$F$11,"")</f>
        <v/>
      </c>
      <c r="G88" s="96" t="str">
        <f>IF(MODULO!$E$92&lt;&gt;"",IF(C$81&gt;B88,IF(C$81&lt;=C88,(C$81-B88)*D88/100,(C88-B88)*D88/100),0),"")</f>
        <v/>
      </c>
      <c r="H88" s="96" t="str">
        <f>IF(MODULO!$E$92&lt;&gt;"",IF(C$81&gt;B88,IF(C$81&lt;=C88,(C$81-B88)*E88/100,(C88-B88)*E88/100),0),"")</f>
        <v/>
      </c>
      <c r="I88" s="97" t="str">
        <f>IF(MODULO!$E$92&lt;&gt;"",IF(G88&lt;&gt;0,G88+(H88-G88)*0.5,0),"")</f>
        <v/>
      </c>
    </row>
    <row r="89" spans="2:9" x14ac:dyDescent="0.25">
      <c r="B89" s="100" t="str">
        <f>IF(MODULO!$E$92&lt;&gt;"",$B$12,"")</f>
        <v/>
      </c>
      <c r="C89" s="100" t="str">
        <f>IF(MODULO!$E$92&lt;&gt;"",$C$12,"")</f>
        <v/>
      </c>
      <c r="D89" s="28" t="str">
        <f>IF(MODULO!$E$92&lt;&gt;"",$D$12,"")</f>
        <v/>
      </c>
      <c r="E89" s="28" t="str">
        <f>IF(MODULO!$E$92&lt;&gt;"",$E$12,"")</f>
        <v/>
      </c>
      <c r="F89" s="29" t="str">
        <f>IF(MODULO!$E$92&lt;&gt;"",$F$12,"")</f>
        <v/>
      </c>
      <c r="G89" s="96" t="str">
        <f>IF(MODULO!$E$92&lt;&gt;"",IF(C$81&gt;B89,IF(C$81&lt;=C89,(C$81-B89)*D89/100,(C89-B89)*D89/100),0),"")</f>
        <v/>
      </c>
      <c r="H89" s="96" t="str">
        <f>IF(MODULO!$E$92&lt;&gt;"",IF(C$81&gt;B89,IF(C$81&lt;=C89,(C$81-B89)*E89/100,(C89-B89)*E89/100),0),"")</f>
        <v/>
      </c>
      <c r="I89" s="97" t="str">
        <f>IF(MODULO!$E$92&lt;&gt;"",IF(G89&lt;&gt;0,G89+(H89-G89)*0.5,0),"")</f>
        <v/>
      </c>
    </row>
    <row r="90" spans="2:9" x14ac:dyDescent="0.25">
      <c r="B90" s="20"/>
      <c r="C90" s="20"/>
      <c r="D90" s="21"/>
      <c r="E90" s="21"/>
      <c r="F90" s="22" t="str">
        <f>IF(MODULO!$E$92&lt;&gt;"",$F$13,"")</f>
        <v/>
      </c>
      <c r="G90" s="98" t="str">
        <f>IF(MODULO!$E$92&lt;&gt;"",IF(SUM(G83:G89)&gt;145.12,SUM(G83:G89),145.12),"")</f>
        <v/>
      </c>
      <c r="H90" s="98" t="str">
        <f>IF(MODULO!$E$92&lt;&gt;"",IF(SUM(H83:H89)&gt;145.12,SUM(H83:H89),145.12),"")</f>
        <v/>
      </c>
      <c r="I90" s="98" t="str">
        <f>IF(MODULO!$E$92&lt;&gt;"",IF(SUM(I83:I89)&gt;145.12,SUM(I83:I89),145.12),"")</f>
        <v/>
      </c>
    </row>
    <row r="91" spans="2:9" hidden="1" x14ac:dyDescent="0.25"/>
    <row r="92" spans="2:9" hidden="1" x14ac:dyDescent="0.25"/>
    <row r="93" spans="2:9" hidden="1" x14ac:dyDescent="0.25"/>
    <row r="94" spans="2:9" hidden="1" x14ac:dyDescent="0.25"/>
    <row r="95" spans="2:9" hidden="1" x14ac:dyDescent="0.25"/>
    <row r="96" spans="2: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sheetData>
  <mergeCells count="26">
    <mergeCell ref="D37:F37"/>
    <mergeCell ref="G37:I37"/>
    <mergeCell ref="B25:I25"/>
    <mergeCell ref="B36:I36"/>
    <mergeCell ref="D26:F26"/>
    <mergeCell ref="G26:I26"/>
    <mergeCell ref="A1:J1"/>
    <mergeCell ref="A2:J2"/>
    <mergeCell ref="D4:F4"/>
    <mergeCell ref="G4:I4"/>
    <mergeCell ref="D15:F15"/>
    <mergeCell ref="G15:I15"/>
    <mergeCell ref="B3:I3"/>
    <mergeCell ref="B14:I14"/>
    <mergeCell ref="B47:I47"/>
    <mergeCell ref="B58:I58"/>
    <mergeCell ref="B69:I69"/>
    <mergeCell ref="B80:I80"/>
    <mergeCell ref="D81:F81"/>
    <mergeCell ref="G81:I81"/>
    <mergeCell ref="D48:F48"/>
    <mergeCell ref="G48:I48"/>
    <mergeCell ref="D70:F70"/>
    <mergeCell ref="G70:I70"/>
    <mergeCell ref="D59:F59"/>
    <mergeCell ref="G59:I59"/>
  </mergeCells>
  <conditionalFormatting sqref="B3:I90">
    <cfRule type="cellIs" dxfId="12" priority="10" operator="notEqual">
      <formula>""</formula>
    </cfRule>
  </conditionalFormatting>
  <pageMargins left="0.70866141732283472" right="0.70866141732283472" top="0.74803149606299213" bottom="0.74803149606299213" header="0.31496062992125984" footer="0.31496062992125984"/>
  <pageSetup paperSize="9" scale="95" fitToHeight="0" orientation="landscape" r:id="rId1"/>
  <rowBreaks count="3" manualBreakCount="3">
    <brk id="24" max="16383" man="1"/>
    <brk id="46" max="16383" man="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XFD124"/>
  <sheetViews>
    <sheetView showGridLines="0" zoomScale="80" zoomScaleNormal="80" workbookViewId="0">
      <selection activeCell="D5" sqref="D5:F5"/>
    </sheetView>
  </sheetViews>
  <sheetFormatPr defaultColWidth="0" defaultRowHeight="15" zeroHeight="1" x14ac:dyDescent="0.25"/>
  <cols>
    <col min="1" max="1" width="2.28515625" style="2" customWidth="1"/>
    <col min="2" max="2" width="20" style="2" bestFit="1" customWidth="1"/>
    <col min="3" max="3" width="20.28515625" style="3" bestFit="1" customWidth="1"/>
    <col min="4" max="4" width="18.5703125" style="3" bestFit="1" customWidth="1"/>
    <col min="5" max="6" width="18.5703125" bestFit="1" customWidth="1"/>
    <col min="7" max="9" width="21.140625" bestFit="1" customWidth="1"/>
    <col min="10" max="10" width="4.140625" customWidth="1"/>
    <col min="11" max="256" width="9.140625" hidden="1"/>
    <col min="257" max="257" width="2.28515625" hidden="1"/>
    <col min="258" max="258" width="14.85546875" hidden="1"/>
    <col min="259" max="259" width="16.42578125" hidden="1"/>
    <col min="260" max="260" width="7.42578125" hidden="1"/>
    <col min="261" max="261" width="8.140625" hidden="1"/>
    <col min="262" max="262" width="9.7109375" hidden="1"/>
    <col min="263" max="263" width="11.5703125" hidden="1"/>
    <col min="264" max="264" width="12.7109375" hidden="1"/>
    <col min="265" max="265" width="12.42578125" hidden="1"/>
    <col min="266" max="266" width="4.140625" hidden="1"/>
    <col min="267" max="512" width="9.140625" hidden="1"/>
    <col min="513" max="513" width="2.28515625" hidden="1"/>
    <col min="514" max="514" width="14.85546875" hidden="1"/>
    <col min="515" max="515" width="16.42578125" hidden="1"/>
    <col min="516" max="516" width="7.42578125" hidden="1"/>
    <col min="517" max="517" width="8.140625" hidden="1"/>
    <col min="518" max="518" width="9.7109375" hidden="1"/>
    <col min="519" max="519" width="11.5703125" hidden="1"/>
    <col min="520" max="520" width="12.7109375" hidden="1"/>
    <col min="521" max="521" width="12.42578125" hidden="1"/>
    <col min="522" max="522" width="4.140625" hidden="1"/>
    <col min="523" max="768" width="9.140625" hidden="1"/>
    <col min="769" max="769" width="2.28515625" hidden="1"/>
    <col min="770" max="770" width="14.85546875" hidden="1"/>
    <col min="771" max="771" width="16.42578125" hidden="1"/>
    <col min="772" max="772" width="7.42578125" hidden="1"/>
    <col min="773" max="773" width="8.140625" hidden="1"/>
    <col min="774" max="774" width="9.7109375" hidden="1"/>
    <col min="775" max="775" width="11.5703125" hidden="1"/>
    <col min="776" max="776" width="12.7109375" hidden="1"/>
    <col min="777" max="777" width="12.42578125" hidden="1"/>
    <col min="778" max="778" width="4.140625" hidden="1"/>
    <col min="779" max="1024" width="9.140625" hidden="1"/>
    <col min="1025" max="1025" width="2.28515625" hidden="1"/>
    <col min="1026" max="1026" width="14.85546875" hidden="1"/>
    <col min="1027" max="1027" width="16.42578125" hidden="1"/>
    <col min="1028" max="1028" width="7.42578125" hidden="1"/>
    <col min="1029" max="1029" width="8.140625" hidden="1"/>
    <col min="1030" max="1030" width="9.7109375" hidden="1"/>
    <col min="1031" max="1031" width="11.5703125" hidden="1"/>
    <col min="1032" max="1032" width="12.7109375" hidden="1"/>
    <col min="1033" max="1033" width="12.42578125" hidden="1"/>
    <col min="1034" max="1034" width="4.140625" hidden="1"/>
    <col min="1035" max="1280" width="9.140625" hidden="1"/>
    <col min="1281" max="1281" width="2.28515625" hidden="1"/>
    <col min="1282" max="1282" width="14.85546875" hidden="1"/>
    <col min="1283" max="1283" width="16.42578125" hidden="1"/>
    <col min="1284" max="1284" width="7.42578125" hidden="1"/>
    <col min="1285" max="1285" width="8.140625" hidden="1"/>
    <col min="1286" max="1286" width="9.7109375" hidden="1"/>
    <col min="1287" max="1287" width="11.5703125" hidden="1"/>
    <col min="1288" max="1288" width="12.7109375" hidden="1"/>
    <col min="1289" max="1289" width="12.42578125" hidden="1"/>
    <col min="1290" max="1290" width="4.140625" hidden="1"/>
    <col min="1291" max="1536" width="9.140625" hidden="1"/>
    <col min="1537" max="1537" width="2.28515625" hidden="1"/>
    <col min="1538" max="1538" width="14.85546875" hidden="1"/>
    <col min="1539" max="1539" width="16.42578125" hidden="1"/>
    <col min="1540" max="1540" width="7.42578125" hidden="1"/>
    <col min="1541" max="1541" width="8.140625" hidden="1"/>
    <col min="1542" max="1542" width="9.7109375" hidden="1"/>
    <col min="1543" max="1543" width="11.5703125" hidden="1"/>
    <col min="1544" max="1544" width="12.7109375" hidden="1"/>
    <col min="1545" max="1545" width="12.42578125" hidden="1"/>
    <col min="1546" max="1546" width="4.140625" hidden="1"/>
    <col min="1547" max="1792" width="9.140625" hidden="1"/>
    <col min="1793" max="1793" width="2.28515625" hidden="1"/>
    <col min="1794" max="1794" width="14.85546875" hidden="1"/>
    <col min="1795" max="1795" width="16.42578125" hidden="1"/>
    <col min="1796" max="1796" width="7.42578125" hidden="1"/>
    <col min="1797" max="1797" width="8.140625" hidden="1"/>
    <col min="1798" max="1798" width="9.7109375" hidden="1"/>
    <col min="1799" max="1799" width="11.5703125" hidden="1"/>
    <col min="1800" max="1800" width="12.7109375" hidden="1"/>
    <col min="1801" max="1801" width="12.42578125" hidden="1"/>
    <col min="1802" max="1802" width="4.140625" hidden="1"/>
    <col min="1803" max="2048" width="9.140625" hidden="1"/>
    <col min="2049" max="2049" width="2.28515625" hidden="1"/>
    <col min="2050" max="2050" width="14.85546875" hidden="1"/>
    <col min="2051" max="2051" width="16.42578125" hidden="1"/>
    <col min="2052" max="2052" width="7.42578125" hidden="1"/>
    <col min="2053" max="2053" width="8.140625" hidden="1"/>
    <col min="2054" max="2054" width="9.7109375" hidden="1"/>
    <col min="2055" max="2055" width="11.5703125" hidden="1"/>
    <col min="2056" max="2056" width="12.7109375" hidden="1"/>
    <col min="2057" max="2057" width="12.42578125" hidden="1"/>
    <col min="2058" max="2058" width="4.140625" hidden="1"/>
    <col min="2059" max="2304" width="9.140625" hidden="1"/>
    <col min="2305" max="2305" width="2.28515625" hidden="1"/>
    <col min="2306" max="2306" width="14.85546875" hidden="1"/>
    <col min="2307" max="2307" width="16.42578125" hidden="1"/>
    <col min="2308" max="2308" width="7.42578125" hidden="1"/>
    <col min="2309" max="2309" width="8.140625" hidden="1"/>
    <col min="2310" max="2310" width="9.7109375" hidden="1"/>
    <col min="2311" max="2311" width="11.5703125" hidden="1"/>
    <col min="2312" max="2312" width="12.7109375" hidden="1"/>
    <col min="2313" max="2313" width="12.42578125" hidden="1"/>
    <col min="2314" max="2314" width="4.140625" hidden="1"/>
    <col min="2315" max="2560" width="9.140625" hidden="1"/>
    <col min="2561" max="2561" width="2.28515625" hidden="1"/>
    <col min="2562" max="2562" width="14.85546875" hidden="1"/>
    <col min="2563" max="2563" width="16.42578125" hidden="1"/>
    <col min="2564" max="2564" width="7.42578125" hidden="1"/>
    <col min="2565" max="2565" width="8.140625" hidden="1"/>
    <col min="2566" max="2566" width="9.7109375" hidden="1"/>
    <col min="2567" max="2567" width="11.5703125" hidden="1"/>
    <col min="2568" max="2568" width="12.7109375" hidden="1"/>
    <col min="2569" max="2569" width="12.42578125" hidden="1"/>
    <col min="2570" max="2570" width="4.140625" hidden="1"/>
    <col min="2571" max="2816" width="9.140625" hidden="1"/>
    <col min="2817" max="2817" width="2.28515625" hidden="1"/>
    <col min="2818" max="2818" width="14.85546875" hidden="1"/>
    <col min="2819" max="2819" width="16.42578125" hidden="1"/>
    <col min="2820" max="2820" width="7.42578125" hidden="1"/>
    <col min="2821" max="2821" width="8.140625" hidden="1"/>
    <col min="2822" max="2822" width="9.7109375" hidden="1"/>
    <col min="2823" max="2823" width="11.5703125" hidden="1"/>
    <col min="2824" max="2824" width="12.7109375" hidden="1"/>
    <col min="2825" max="2825" width="12.42578125" hidden="1"/>
    <col min="2826" max="2826" width="4.140625" hidden="1"/>
    <col min="2827" max="3072" width="9.140625" hidden="1"/>
    <col min="3073" max="3073" width="2.28515625" hidden="1"/>
    <col min="3074" max="3074" width="14.85546875" hidden="1"/>
    <col min="3075" max="3075" width="16.42578125" hidden="1"/>
    <col min="3076" max="3076" width="7.42578125" hidden="1"/>
    <col min="3077" max="3077" width="8.140625" hidden="1"/>
    <col min="3078" max="3078" width="9.7109375" hidden="1"/>
    <col min="3079" max="3079" width="11.5703125" hidden="1"/>
    <col min="3080" max="3080" width="12.7109375" hidden="1"/>
    <col min="3081" max="3081" width="12.42578125" hidden="1"/>
    <col min="3082" max="3082" width="4.140625" hidden="1"/>
    <col min="3083" max="3328" width="9.140625" hidden="1"/>
    <col min="3329" max="3329" width="2.28515625" hidden="1"/>
    <col min="3330" max="3330" width="14.85546875" hidden="1"/>
    <col min="3331" max="3331" width="16.42578125" hidden="1"/>
    <col min="3332" max="3332" width="7.42578125" hidden="1"/>
    <col min="3333" max="3333" width="8.140625" hidden="1"/>
    <col min="3334" max="3334" width="9.7109375" hidden="1"/>
    <col min="3335" max="3335" width="11.5703125" hidden="1"/>
    <col min="3336" max="3336" width="12.7109375" hidden="1"/>
    <col min="3337" max="3337" width="12.42578125" hidden="1"/>
    <col min="3338" max="3338" width="4.140625" hidden="1"/>
    <col min="3339" max="3584" width="9.140625" hidden="1"/>
    <col min="3585" max="3585" width="2.28515625" hidden="1"/>
    <col min="3586" max="3586" width="14.85546875" hidden="1"/>
    <col min="3587" max="3587" width="16.42578125" hidden="1"/>
    <col min="3588" max="3588" width="7.42578125" hidden="1"/>
    <col min="3589" max="3589" width="8.140625" hidden="1"/>
    <col min="3590" max="3590" width="9.7109375" hidden="1"/>
    <col min="3591" max="3591" width="11.5703125" hidden="1"/>
    <col min="3592" max="3592" width="12.7109375" hidden="1"/>
    <col min="3593" max="3593" width="12.42578125" hidden="1"/>
    <col min="3594" max="3594" width="4.140625" hidden="1"/>
    <col min="3595" max="3840" width="9.140625" hidden="1"/>
    <col min="3841" max="3841" width="2.28515625" hidden="1"/>
    <col min="3842" max="3842" width="14.85546875" hidden="1"/>
    <col min="3843" max="3843" width="16.42578125" hidden="1"/>
    <col min="3844" max="3844" width="7.42578125" hidden="1"/>
    <col min="3845" max="3845" width="8.140625" hidden="1"/>
    <col min="3846" max="3846" width="9.7109375" hidden="1"/>
    <col min="3847" max="3847" width="11.5703125" hidden="1"/>
    <col min="3848" max="3848" width="12.7109375" hidden="1"/>
    <col min="3849" max="3849" width="12.42578125" hidden="1"/>
    <col min="3850" max="3850" width="4.140625" hidden="1"/>
    <col min="3851" max="4096" width="9.140625" hidden="1"/>
    <col min="4097" max="4097" width="2.28515625" hidden="1"/>
    <col min="4098" max="4098" width="14.85546875" hidden="1"/>
    <col min="4099" max="4099" width="16.42578125" hidden="1"/>
    <col min="4100" max="4100" width="7.42578125" hidden="1"/>
    <col min="4101" max="4101" width="8.140625" hidden="1"/>
    <col min="4102" max="4102" width="9.7109375" hidden="1"/>
    <col min="4103" max="4103" width="11.5703125" hidden="1"/>
    <col min="4104" max="4104" width="12.7109375" hidden="1"/>
    <col min="4105" max="4105" width="12.42578125" hidden="1"/>
    <col min="4106" max="4106" width="4.140625" hidden="1"/>
    <col min="4107" max="4352" width="9.140625" hidden="1"/>
    <col min="4353" max="4353" width="2.28515625" hidden="1"/>
    <col min="4354" max="4354" width="14.85546875" hidden="1"/>
    <col min="4355" max="4355" width="16.42578125" hidden="1"/>
    <col min="4356" max="4356" width="7.42578125" hidden="1"/>
    <col min="4357" max="4357" width="8.140625" hidden="1"/>
    <col min="4358" max="4358" width="9.7109375" hidden="1"/>
    <col min="4359" max="4359" width="11.5703125" hidden="1"/>
    <col min="4360" max="4360" width="12.7109375" hidden="1"/>
    <col min="4361" max="4361" width="12.42578125" hidden="1"/>
    <col min="4362" max="4362" width="4.140625" hidden="1"/>
    <col min="4363" max="4608" width="9.140625" hidden="1"/>
    <col min="4609" max="4609" width="2.28515625" hidden="1"/>
    <col min="4610" max="4610" width="14.85546875" hidden="1"/>
    <col min="4611" max="4611" width="16.42578125" hidden="1"/>
    <col min="4612" max="4612" width="7.42578125" hidden="1"/>
    <col min="4613" max="4613" width="8.140625" hidden="1"/>
    <col min="4614" max="4614" width="9.7109375" hidden="1"/>
    <col min="4615" max="4615" width="11.5703125" hidden="1"/>
    <col min="4616" max="4616" width="12.7109375" hidden="1"/>
    <col min="4617" max="4617" width="12.42578125" hidden="1"/>
    <col min="4618" max="4618" width="4.140625" hidden="1"/>
    <col min="4619" max="4864" width="9.140625" hidden="1"/>
    <col min="4865" max="4865" width="2.28515625" hidden="1"/>
    <col min="4866" max="4866" width="14.85546875" hidden="1"/>
    <col min="4867" max="4867" width="16.42578125" hidden="1"/>
    <col min="4868" max="4868" width="7.42578125" hidden="1"/>
    <col min="4869" max="4869" width="8.140625" hidden="1"/>
    <col min="4870" max="4870" width="9.7109375" hidden="1"/>
    <col min="4871" max="4871" width="11.5703125" hidden="1"/>
    <col min="4872" max="4872" width="12.7109375" hidden="1"/>
    <col min="4873" max="4873" width="12.42578125" hidden="1"/>
    <col min="4874" max="4874" width="4.140625" hidden="1"/>
    <col min="4875" max="5120" width="9.140625" hidden="1"/>
    <col min="5121" max="5121" width="2.28515625" hidden="1"/>
    <col min="5122" max="5122" width="14.85546875" hidden="1"/>
    <col min="5123" max="5123" width="16.42578125" hidden="1"/>
    <col min="5124" max="5124" width="7.42578125" hidden="1"/>
    <col min="5125" max="5125" width="8.140625" hidden="1"/>
    <col min="5126" max="5126" width="9.7109375" hidden="1"/>
    <col min="5127" max="5127" width="11.5703125" hidden="1"/>
    <col min="5128" max="5128" width="12.7109375" hidden="1"/>
    <col min="5129" max="5129" width="12.42578125" hidden="1"/>
    <col min="5130" max="5130" width="4.140625" hidden="1"/>
    <col min="5131" max="5376" width="9.140625" hidden="1"/>
    <col min="5377" max="5377" width="2.28515625" hidden="1"/>
    <col min="5378" max="5378" width="14.85546875" hidden="1"/>
    <col min="5379" max="5379" width="16.42578125" hidden="1"/>
    <col min="5380" max="5380" width="7.42578125" hidden="1"/>
    <col min="5381" max="5381" width="8.140625" hidden="1"/>
    <col min="5382" max="5382" width="9.7109375" hidden="1"/>
    <col min="5383" max="5383" width="11.5703125" hidden="1"/>
    <col min="5384" max="5384" width="12.7109375" hidden="1"/>
    <col min="5385" max="5385" width="12.42578125" hidden="1"/>
    <col min="5386" max="5386" width="4.140625" hidden="1"/>
    <col min="5387" max="5632" width="9.140625" hidden="1"/>
    <col min="5633" max="5633" width="2.28515625" hidden="1"/>
    <col min="5634" max="5634" width="14.85546875" hidden="1"/>
    <col min="5635" max="5635" width="16.42578125" hidden="1"/>
    <col min="5636" max="5636" width="7.42578125" hidden="1"/>
    <col min="5637" max="5637" width="8.140625" hidden="1"/>
    <col min="5638" max="5638" width="9.7109375" hidden="1"/>
    <col min="5639" max="5639" width="11.5703125" hidden="1"/>
    <col min="5640" max="5640" width="12.7109375" hidden="1"/>
    <col min="5641" max="5641" width="12.42578125" hidden="1"/>
    <col min="5642" max="5642" width="4.140625" hidden="1"/>
    <col min="5643" max="5888" width="9.140625" hidden="1"/>
    <col min="5889" max="5889" width="2.28515625" hidden="1"/>
    <col min="5890" max="5890" width="14.85546875" hidden="1"/>
    <col min="5891" max="5891" width="16.42578125" hidden="1"/>
    <col min="5892" max="5892" width="7.42578125" hidden="1"/>
    <col min="5893" max="5893" width="8.140625" hidden="1"/>
    <col min="5894" max="5894" width="9.7109375" hidden="1"/>
    <col min="5895" max="5895" width="11.5703125" hidden="1"/>
    <col min="5896" max="5896" width="12.7109375" hidden="1"/>
    <col min="5897" max="5897" width="12.42578125" hidden="1"/>
    <col min="5898" max="5898" width="4.140625" hidden="1"/>
    <col min="5899" max="6144" width="9.140625" hidden="1"/>
    <col min="6145" max="6145" width="2.28515625" hidden="1"/>
    <col min="6146" max="6146" width="14.85546875" hidden="1"/>
    <col min="6147" max="6147" width="16.42578125" hidden="1"/>
    <col min="6148" max="6148" width="7.42578125" hidden="1"/>
    <col min="6149" max="6149" width="8.140625" hidden="1"/>
    <col min="6150" max="6150" width="9.7109375" hidden="1"/>
    <col min="6151" max="6151" width="11.5703125" hidden="1"/>
    <col min="6152" max="6152" width="12.7109375" hidden="1"/>
    <col min="6153" max="6153" width="12.42578125" hidden="1"/>
    <col min="6154" max="6154" width="4.140625" hidden="1"/>
    <col min="6155" max="6400" width="9.140625" hidden="1"/>
    <col min="6401" max="6401" width="2.28515625" hidden="1"/>
    <col min="6402" max="6402" width="14.85546875" hidden="1"/>
    <col min="6403" max="6403" width="16.42578125" hidden="1"/>
    <col min="6404" max="6404" width="7.42578125" hidden="1"/>
    <col min="6405" max="6405" width="8.140625" hidden="1"/>
    <col min="6406" max="6406" width="9.7109375" hidden="1"/>
    <col min="6407" max="6407" width="11.5703125" hidden="1"/>
    <col min="6408" max="6408" width="12.7109375" hidden="1"/>
    <col min="6409" max="6409" width="12.42578125" hidden="1"/>
    <col min="6410" max="6410" width="4.140625" hidden="1"/>
    <col min="6411" max="6656" width="9.140625" hidden="1"/>
    <col min="6657" max="6657" width="2.28515625" hidden="1"/>
    <col min="6658" max="6658" width="14.85546875" hidden="1"/>
    <col min="6659" max="6659" width="16.42578125" hidden="1"/>
    <col min="6660" max="6660" width="7.42578125" hidden="1"/>
    <col min="6661" max="6661" width="8.140625" hidden="1"/>
    <col min="6662" max="6662" width="9.7109375" hidden="1"/>
    <col min="6663" max="6663" width="11.5703125" hidden="1"/>
    <col min="6664" max="6664" width="12.7109375" hidden="1"/>
    <col min="6665" max="6665" width="12.42578125" hidden="1"/>
    <col min="6666" max="6666" width="4.140625" hidden="1"/>
    <col min="6667" max="6912" width="9.140625" hidden="1"/>
    <col min="6913" max="6913" width="2.28515625" hidden="1"/>
    <col min="6914" max="6914" width="14.85546875" hidden="1"/>
    <col min="6915" max="6915" width="16.42578125" hidden="1"/>
    <col min="6916" max="6916" width="7.42578125" hidden="1"/>
    <col min="6917" max="6917" width="8.140625" hidden="1"/>
    <col min="6918" max="6918" width="9.7109375" hidden="1"/>
    <col min="6919" max="6919" width="11.5703125" hidden="1"/>
    <col min="6920" max="6920" width="12.7109375" hidden="1"/>
    <col min="6921" max="6921" width="12.42578125" hidden="1"/>
    <col min="6922" max="6922" width="4.140625" hidden="1"/>
    <col min="6923" max="7168" width="9.140625" hidden="1"/>
    <col min="7169" max="7169" width="2.28515625" hidden="1"/>
    <col min="7170" max="7170" width="14.85546875" hidden="1"/>
    <col min="7171" max="7171" width="16.42578125" hidden="1"/>
    <col min="7172" max="7172" width="7.42578125" hidden="1"/>
    <col min="7173" max="7173" width="8.140625" hidden="1"/>
    <col min="7174" max="7174" width="9.7109375" hidden="1"/>
    <col min="7175" max="7175" width="11.5703125" hidden="1"/>
    <col min="7176" max="7176" width="12.7109375" hidden="1"/>
    <col min="7177" max="7177" width="12.42578125" hidden="1"/>
    <col min="7178" max="7178" width="4.140625" hidden="1"/>
    <col min="7179" max="7424" width="9.140625" hidden="1"/>
    <col min="7425" max="7425" width="2.28515625" hidden="1"/>
    <col min="7426" max="7426" width="14.85546875" hidden="1"/>
    <col min="7427" max="7427" width="16.42578125" hidden="1"/>
    <col min="7428" max="7428" width="7.42578125" hidden="1"/>
    <col min="7429" max="7429" width="8.140625" hidden="1"/>
    <col min="7430" max="7430" width="9.7109375" hidden="1"/>
    <col min="7431" max="7431" width="11.5703125" hidden="1"/>
    <col min="7432" max="7432" width="12.7109375" hidden="1"/>
    <col min="7433" max="7433" width="12.42578125" hidden="1"/>
    <col min="7434" max="7434" width="4.140625" hidden="1"/>
    <col min="7435" max="7680" width="9.140625" hidden="1"/>
    <col min="7681" max="7681" width="2.28515625" hidden="1"/>
    <col min="7682" max="7682" width="14.85546875" hidden="1"/>
    <col min="7683" max="7683" width="16.42578125" hidden="1"/>
    <col min="7684" max="7684" width="7.42578125" hidden="1"/>
    <col min="7685" max="7685" width="8.140625" hidden="1"/>
    <col min="7686" max="7686" width="9.7109375" hidden="1"/>
    <col min="7687" max="7687" width="11.5703125" hidden="1"/>
    <col min="7688" max="7688" width="12.7109375" hidden="1"/>
    <col min="7689" max="7689" width="12.42578125" hidden="1"/>
    <col min="7690" max="7690" width="4.140625" hidden="1"/>
    <col min="7691" max="7936" width="9.140625" hidden="1"/>
    <col min="7937" max="7937" width="2.28515625" hidden="1"/>
    <col min="7938" max="7938" width="14.85546875" hidden="1"/>
    <col min="7939" max="7939" width="16.42578125" hidden="1"/>
    <col min="7940" max="7940" width="7.42578125" hidden="1"/>
    <col min="7941" max="7941" width="8.140625" hidden="1"/>
    <col min="7942" max="7942" width="9.7109375" hidden="1"/>
    <col min="7943" max="7943" width="11.5703125" hidden="1"/>
    <col min="7944" max="7944" width="12.7109375" hidden="1"/>
    <col min="7945" max="7945" width="12.42578125" hidden="1"/>
    <col min="7946" max="7946" width="4.140625" hidden="1"/>
    <col min="7947" max="8192" width="9.140625" hidden="1"/>
    <col min="8193" max="8193" width="2.28515625" hidden="1"/>
    <col min="8194" max="8194" width="14.85546875" hidden="1"/>
    <col min="8195" max="8195" width="16.42578125" hidden="1"/>
    <col min="8196" max="8196" width="7.42578125" hidden="1"/>
    <col min="8197" max="8197" width="8.140625" hidden="1"/>
    <col min="8198" max="8198" width="9.7109375" hidden="1"/>
    <col min="8199" max="8199" width="11.5703125" hidden="1"/>
    <col min="8200" max="8200" width="12.7109375" hidden="1"/>
    <col min="8201" max="8201" width="12.42578125" hidden="1"/>
    <col min="8202" max="8202" width="4.140625" hidden="1"/>
    <col min="8203" max="8448" width="9.140625" hidden="1"/>
    <col min="8449" max="8449" width="2.28515625" hidden="1"/>
    <col min="8450" max="8450" width="14.85546875" hidden="1"/>
    <col min="8451" max="8451" width="16.42578125" hidden="1"/>
    <col min="8452" max="8452" width="7.42578125" hidden="1"/>
    <col min="8453" max="8453" width="8.140625" hidden="1"/>
    <col min="8454" max="8454" width="9.7109375" hidden="1"/>
    <col min="8455" max="8455" width="11.5703125" hidden="1"/>
    <col min="8456" max="8456" width="12.7109375" hidden="1"/>
    <col min="8457" max="8457" width="12.42578125" hidden="1"/>
    <col min="8458" max="8458" width="4.140625" hidden="1"/>
    <col min="8459" max="8704" width="9.140625" hidden="1"/>
    <col min="8705" max="8705" width="2.28515625" hidden="1"/>
    <col min="8706" max="8706" width="14.85546875" hidden="1"/>
    <col min="8707" max="8707" width="16.42578125" hidden="1"/>
    <col min="8708" max="8708" width="7.42578125" hidden="1"/>
    <col min="8709" max="8709" width="8.140625" hidden="1"/>
    <col min="8710" max="8710" width="9.7109375" hidden="1"/>
    <col min="8711" max="8711" width="11.5703125" hidden="1"/>
    <col min="8712" max="8712" width="12.7109375" hidden="1"/>
    <col min="8713" max="8713" width="12.42578125" hidden="1"/>
    <col min="8714" max="8714" width="4.140625" hidden="1"/>
    <col min="8715" max="8960" width="9.140625" hidden="1"/>
    <col min="8961" max="8961" width="2.28515625" hidden="1"/>
    <col min="8962" max="8962" width="14.85546875" hidden="1"/>
    <col min="8963" max="8963" width="16.42578125" hidden="1"/>
    <col min="8964" max="8964" width="7.42578125" hidden="1"/>
    <col min="8965" max="8965" width="8.140625" hidden="1"/>
    <col min="8966" max="8966" width="9.7109375" hidden="1"/>
    <col min="8967" max="8967" width="11.5703125" hidden="1"/>
    <col min="8968" max="8968" width="12.7109375" hidden="1"/>
    <col min="8969" max="8969" width="12.42578125" hidden="1"/>
    <col min="8970" max="8970" width="4.140625" hidden="1"/>
    <col min="8971" max="9216" width="9.140625" hidden="1"/>
    <col min="9217" max="9217" width="2.28515625" hidden="1"/>
    <col min="9218" max="9218" width="14.85546875" hidden="1"/>
    <col min="9219" max="9219" width="16.42578125" hidden="1"/>
    <col min="9220" max="9220" width="7.42578125" hidden="1"/>
    <col min="9221" max="9221" width="8.140625" hidden="1"/>
    <col min="9222" max="9222" width="9.7109375" hidden="1"/>
    <col min="9223" max="9223" width="11.5703125" hidden="1"/>
    <col min="9224" max="9224" width="12.7109375" hidden="1"/>
    <col min="9225" max="9225" width="12.42578125" hidden="1"/>
    <col min="9226" max="9226" width="4.140625" hidden="1"/>
    <col min="9227" max="9472" width="9.140625" hidden="1"/>
    <col min="9473" max="9473" width="2.28515625" hidden="1"/>
    <col min="9474" max="9474" width="14.85546875" hidden="1"/>
    <col min="9475" max="9475" width="16.42578125" hidden="1"/>
    <col min="9476" max="9476" width="7.42578125" hidden="1"/>
    <col min="9477" max="9477" width="8.140625" hidden="1"/>
    <col min="9478" max="9478" width="9.7109375" hidden="1"/>
    <col min="9479" max="9479" width="11.5703125" hidden="1"/>
    <col min="9480" max="9480" width="12.7109375" hidden="1"/>
    <col min="9481" max="9481" width="12.42578125" hidden="1"/>
    <col min="9482" max="9482" width="4.140625" hidden="1"/>
    <col min="9483" max="9728" width="9.140625" hidden="1"/>
    <col min="9729" max="9729" width="2.28515625" hidden="1"/>
    <col min="9730" max="9730" width="14.85546875" hidden="1"/>
    <col min="9731" max="9731" width="16.42578125" hidden="1"/>
    <col min="9732" max="9732" width="7.42578125" hidden="1"/>
    <col min="9733" max="9733" width="8.140625" hidden="1"/>
    <col min="9734" max="9734" width="9.7109375" hidden="1"/>
    <col min="9735" max="9735" width="11.5703125" hidden="1"/>
    <col min="9736" max="9736" width="12.7109375" hidden="1"/>
    <col min="9737" max="9737" width="12.42578125" hidden="1"/>
    <col min="9738" max="9738" width="4.140625" hidden="1"/>
    <col min="9739" max="9984" width="9.140625" hidden="1"/>
    <col min="9985" max="9985" width="2.28515625" hidden="1"/>
    <col min="9986" max="9986" width="14.85546875" hidden="1"/>
    <col min="9987" max="9987" width="16.42578125" hidden="1"/>
    <col min="9988" max="9988" width="7.42578125" hidden="1"/>
    <col min="9989" max="9989" width="8.140625" hidden="1"/>
    <col min="9990" max="9990" width="9.7109375" hidden="1"/>
    <col min="9991" max="9991" width="11.5703125" hidden="1"/>
    <col min="9992" max="9992" width="12.7109375" hidden="1"/>
    <col min="9993" max="9993" width="12.42578125" hidden="1"/>
    <col min="9994" max="9994" width="4.140625" hidden="1"/>
    <col min="9995" max="10240" width="9.140625" hidden="1"/>
    <col min="10241" max="10241" width="2.28515625" hidden="1"/>
    <col min="10242" max="10242" width="14.85546875" hidden="1"/>
    <col min="10243" max="10243" width="16.42578125" hidden="1"/>
    <col min="10244" max="10244" width="7.42578125" hidden="1"/>
    <col min="10245" max="10245" width="8.140625" hidden="1"/>
    <col min="10246" max="10246" width="9.7109375" hidden="1"/>
    <col min="10247" max="10247" width="11.5703125" hidden="1"/>
    <col min="10248" max="10248" width="12.7109375" hidden="1"/>
    <col min="10249" max="10249" width="12.42578125" hidden="1"/>
    <col min="10250" max="10250" width="4.140625" hidden="1"/>
    <col min="10251" max="10496" width="9.140625" hidden="1"/>
    <col min="10497" max="10497" width="2.28515625" hidden="1"/>
    <col min="10498" max="10498" width="14.85546875" hidden="1"/>
    <col min="10499" max="10499" width="16.42578125" hidden="1"/>
    <col min="10500" max="10500" width="7.42578125" hidden="1"/>
    <col min="10501" max="10501" width="8.140625" hidden="1"/>
    <col min="10502" max="10502" width="9.7109375" hidden="1"/>
    <col min="10503" max="10503" width="11.5703125" hidden="1"/>
    <col min="10504" max="10504" width="12.7109375" hidden="1"/>
    <col min="10505" max="10505" width="12.42578125" hidden="1"/>
    <col min="10506" max="10506" width="4.140625" hidden="1"/>
    <col min="10507" max="10752" width="9.140625" hidden="1"/>
    <col min="10753" max="10753" width="2.28515625" hidden="1"/>
    <col min="10754" max="10754" width="14.85546875" hidden="1"/>
    <col min="10755" max="10755" width="16.42578125" hidden="1"/>
    <col min="10756" max="10756" width="7.42578125" hidden="1"/>
    <col min="10757" max="10757" width="8.140625" hidden="1"/>
    <col min="10758" max="10758" width="9.7109375" hidden="1"/>
    <col min="10759" max="10759" width="11.5703125" hidden="1"/>
    <col min="10760" max="10760" width="12.7109375" hidden="1"/>
    <col min="10761" max="10761" width="12.42578125" hidden="1"/>
    <col min="10762" max="10762" width="4.140625" hidden="1"/>
    <col min="10763" max="11008" width="9.140625" hidden="1"/>
    <col min="11009" max="11009" width="2.28515625" hidden="1"/>
    <col min="11010" max="11010" width="14.85546875" hidden="1"/>
    <col min="11011" max="11011" width="16.42578125" hidden="1"/>
    <col min="11012" max="11012" width="7.42578125" hidden="1"/>
    <col min="11013" max="11013" width="8.140625" hidden="1"/>
    <col min="11014" max="11014" width="9.7109375" hidden="1"/>
    <col min="11015" max="11015" width="11.5703125" hidden="1"/>
    <col min="11016" max="11016" width="12.7109375" hidden="1"/>
    <col min="11017" max="11017" width="12.42578125" hidden="1"/>
    <col min="11018" max="11018" width="4.140625" hidden="1"/>
    <col min="11019" max="11264" width="9.140625" hidden="1"/>
    <col min="11265" max="11265" width="2.28515625" hidden="1"/>
    <col min="11266" max="11266" width="14.85546875" hidden="1"/>
    <col min="11267" max="11267" width="16.42578125" hidden="1"/>
    <col min="11268" max="11268" width="7.42578125" hidden="1"/>
    <col min="11269" max="11269" width="8.140625" hidden="1"/>
    <col min="11270" max="11270" width="9.7109375" hidden="1"/>
    <col min="11271" max="11271" width="11.5703125" hidden="1"/>
    <col min="11272" max="11272" width="12.7109375" hidden="1"/>
    <col min="11273" max="11273" width="12.42578125" hidden="1"/>
    <col min="11274" max="11274" width="4.140625" hidden="1"/>
    <col min="11275" max="11520" width="9.140625" hidden="1"/>
    <col min="11521" max="11521" width="2.28515625" hidden="1"/>
    <col min="11522" max="11522" width="14.85546875" hidden="1"/>
    <col min="11523" max="11523" width="16.42578125" hidden="1"/>
    <col min="11524" max="11524" width="7.42578125" hidden="1"/>
    <col min="11525" max="11525" width="8.140625" hidden="1"/>
    <col min="11526" max="11526" width="9.7109375" hidden="1"/>
    <col min="11527" max="11527" width="11.5703125" hidden="1"/>
    <col min="11528" max="11528" width="12.7109375" hidden="1"/>
    <col min="11529" max="11529" width="12.42578125" hidden="1"/>
    <col min="11530" max="11530" width="4.140625" hidden="1"/>
    <col min="11531" max="11776" width="9.140625" hidden="1"/>
    <col min="11777" max="11777" width="2.28515625" hidden="1"/>
    <col min="11778" max="11778" width="14.85546875" hidden="1"/>
    <col min="11779" max="11779" width="16.42578125" hidden="1"/>
    <col min="11780" max="11780" width="7.42578125" hidden="1"/>
    <col min="11781" max="11781" width="8.140625" hidden="1"/>
    <col min="11782" max="11782" width="9.7109375" hidden="1"/>
    <col min="11783" max="11783" width="11.5703125" hidden="1"/>
    <col min="11784" max="11784" width="12.7109375" hidden="1"/>
    <col min="11785" max="11785" width="12.42578125" hidden="1"/>
    <col min="11786" max="11786" width="4.140625" hidden="1"/>
    <col min="11787" max="12032" width="9.140625" hidden="1"/>
    <col min="12033" max="12033" width="2.28515625" hidden="1"/>
    <col min="12034" max="12034" width="14.85546875" hidden="1"/>
    <col min="12035" max="12035" width="16.42578125" hidden="1"/>
    <col min="12036" max="12036" width="7.42578125" hidden="1"/>
    <col min="12037" max="12037" width="8.140625" hidden="1"/>
    <col min="12038" max="12038" width="9.7109375" hidden="1"/>
    <col min="12039" max="12039" width="11.5703125" hidden="1"/>
    <col min="12040" max="12040" width="12.7109375" hidden="1"/>
    <col min="12041" max="12041" width="12.42578125" hidden="1"/>
    <col min="12042" max="12042" width="4.140625" hidden="1"/>
    <col min="12043" max="12288" width="9.140625" hidden="1"/>
    <col min="12289" max="12289" width="2.28515625" hidden="1"/>
    <col min="12290" max="12290" width="14.85546875" hidden="1"/>
    <col min="12291" max="12291" width="16.42578125" hidden="1"/>
    <col min="12292" max="12292" width="7.42578125" hidden="1"/>
    <col min="12293" max="12293" width="8.140625" hidden="1"/>
    <col min="12294" max="12294" width="9.7109375" hidden="1"/>
    <col min="12295" max="12295" width="11.5703125" hidden="1"/>
    <col min="12296" max="12296" width="12.7109375" hidden="1"/>
    <col min="12297" max="12297" width="12.42578125" hidden="1"/>
    <col min="12298" max="12298" width="4.140625" hidden="1"/>
    <col min="12299" max="12544" width="9.140625" hidden="1"/>
    <col min="12545" max="12545" width="2.28515625" hidden="1"/>
    <col min="12546" max="12546" width="14.85546875" hidden="1"/>
    <col min="12547" max="12547" width="16.42578125" hidden="1"/>
    <col min="12548" max="12548" width="7.42578125" hidden="1"/>
    <col min="12549" max="12549" width="8.140625" hidden="1"/>
    <col min="12550" max="12550" width="9.7109375" hidden="1"/>
    <col min="12551" max="12551" width="11.5703125" hidden="1"/>
    <col min="12552" max="12552" width="12.7109375" hidden="1"/>
    <col min="12553" max="12553" width="12.42578125" hidden="1"/>
    <col min="12554" max="12554" width="4.140625" hidden="1"/>
    <col min="12555" max="12800" width="9.140625" hidden="1"/>
    <col min="12801" max="12801" width="2.28515625" hidden="1"/>
    <col min="12802" max="12802" width="14.85546875" hidden="1"/>
    <col min="12803" max="12803" width="16.42578125" hidden="1"/>
    <col min="12804" max="12804" width="7.42578125" hidden="1"/>
    <col min="12805" max="12805" width="8.140625" hidden="1"/>
    <col min="12806" max="12806" width="9.7109375" hidden="1"/>
    <col min="12807" max="12807" width="11.5703125" hidden="1"/>
    <col min="12808" max="12808" width="12.7109375" hidden="1"/>
    <col min="12809" max="12809" width="12.42578125" hidden="1"/>
    <col min="12810" max="12810" width="4.140625" hidden="1"/>
    <col min="12811" max="13056" width="9.140625" hidden="1"/>
    <col min="13057" max="13057" width="2.28515625" hidden="1"/>
    <col min="13058" max="13058" width="14.85546875" hidden="1"/>
    <col min="13059" max="13059" width="16.42578125" hidden="1"/>
    <col min="13060" max="13060" width="7.42578125" hidden="1"/>
    <col min="13061" max="13061" width="8.140625" hidden="1"/>
    <col min="13062" max="13062" width="9.7109375" hidden="1"/>
    <col min="13063" max="13063" width="11.5703125" hidden="1"/>
    <col min="13064" max="13064" width="12.7109375" hidden="1"/>
    <col min="13065" max="13065" width="12.42578125" hidden="1"/>
    <col min="13066" max="13066" width="4.140625" hidden="1"/>
    <col min="13067" max="13312" width="9.140625" hidden="1"/>
    <col min="13313" max="13313" width="2.28515625" hidden="1"/>
    <col min="13314" max="13314" width="14.85546875" hidden="1"/>
    <col min="13315" max="13315" width="16.42578125" hidden="1"/>
    <col min="13316" max="13316" width="7.42578125" hidden="1"/>
    <col min="13317" max="13317" width="8.140625" hidden="1"/>
    <col min="13318" max="13318" width="9.7109375" hidden="1"/>
    <col min="13319" max="13319" width="11.5703125" hidden="1"/>
    <col min="13320" max="13320" width="12.7109375" hidden="1"/>
    <col min="13321" max="13321" width="12.42578125" hidden="1"/>
    <col min="13322" max="13322" width="4.140625" hidden="1"/>
    <col min="13323" max="13568" width="9.140625" hidden="1"/>
    <col min="13569" max="13569" width="2.28515625" hidden="1"/>
    <col min="13570" max="13570" width="14.85546875" hidden="1"/>
    <col min="13571" max="13571" width="16.42578125" hidden="1"/>
    <col min="13572" max="13572" width="7.42578125" hidden="1"/>
    <col min="13573" max="13573" width="8.140625" hidden="1"/>
    <col min="13574" max="13574" width="9.7109375" hidden="1"/>
    <col min="13575" max="13575" width="11.5703125" hidden="1"/>
    <col min="13576" max="13576" width="12.7109375" hidden="1"/>
    <col min="13577" max="13577" width="12.42578125" hidden="1"/>
    <col min="13578" max="13578" width="4.140625" hidden="1"/>
    <col min="13579" max="13824" width="9.140625" hidden="1"/>
    <col min="13825" max="13825" width="2.28515625" hidden="1"/>
    <col min="13826" max="13826" width="14.85546875" hidden="1"/>
    <col min="13827" max="13827" width="16.42578125" hidden="1"/>
    <col min="13828" max="13828" width="7.42578125" hidden="1"/>
    <col min="13829" max="13829" width="8.140625" hidden="1"/>
    <col min="13830" max="13830" width="9.7109375" hidden="1"/>
    <col min="13831" max="13831" width="11.5703125" hidden="1"/>
    <col min="13832" max="13832" width="12.7109375" hidden="1"/>
    <col min="13833" max="13833" width="12.42578125" hidden="1"/>
    <col min="13834" max="13834" width="4.140625" hidden="1"/>
    <col min="13835" max="14080" width="9.140625" hidden="1"/>
    <col min="14081" max="14081" width="2.28515625" hidden="1"/>
    <col min="14082" max="14082" width="14.85546875" hidden="1"/>
    <col min="14083" max="14083" width="16.42578125" hidden="1"/>
    <col min="14084" max="14084" width="7.42578125" hidden="1"/>
    <col min="14085" max="14085" width="8.140625" hidden="1"/>
    <col min="14086" max="14086" width="9.7109375" hidden="1"/>
    <col min="14087" max="14087" width="11.5703125" hidden="1"/>
    <col min="14088" max="14088" width="12.7109375" hidden="1"/>
    <col min="14089" max="14089" width="12.42578125" hidden="1"/>
    <col min="14090" max="14090" width="4.140625" hidden="1"/>
    <col min="14091" max="14336" width="9.140625" hidden="1"/>
    <col min="14337" max="14337" width="2.28515625" hidden="1"/>
    <col min="14338" max="14338" width="14.85546875" hidden="1"/>
    <col min="14339" max="14339" width="16.42578125" hidden="1"/>
    <col min="14340" max="14340" width="7.42578125" hidden="1"/>
    <col min="14341" max="14341" width="8.140625" hidden="1"/>
    <col min="14342" max="14342" width="9.7109375" hidden="1"/>
    <col min="14343" max="14343" width="11.5703125" hidden="1"/>
    <col min="14344" max="14344" width="12.7109375" hidden="1"/>
    <col min="14345" max="14345" width="12.42578125" hidden="1"/>
    <col min="14346" max="14346" width="4.140625" hidden="1"/>
    <col min="14347" max="14592" width="9.140625" hidden="1"/>
    <col min="14593" max="14593" width="2.28515625" hidden="1"/>
    <col min="14594" max="14594" width="14.85546875" hidden="1"/>
    <col min="14595" max="14595" width="16.42578125" hidden="1"/>
    <col min="14596" max="14596" width="7.42578125" hidden="1"/>
    <col min="14597" max="14597" width="8.140625" hidden="1"/>
    <col min="14598" max="14598" width="9.7109375" hidden="1"/>
    <col min="14599" max="14599" width="11.5703125" hidden="1"/>
    <col min="14600" max="14600" width="12.7109375" hidden="1"/>
    <col min="14601" max="14601" width="12.42578125" hidden="1"/>
    <col min="14602" max="14602" width="4.140625" hidden="1"/>
    <col min="14603" max="14848" width="9.140625" hidden="1"/>
    <col min="14849" max="14849" width="2.28515625" hidden="1"/>
    <col min="14850" max="14850" width="14.85546875" hidden="1"/>
    <col min="14851" max="14851" width="16.42578125" hidden="1"/>
    <col min="14852" max="14852" width="7.42578125" hidden="1"/>
    <col min="14853" max="14853" width="8.140625" hidden="1"/>
    <col min="14854" max="14854" width="9.7109375" hidden="1"/>
    <col min="14855" max="14855" width="11.5703125" hidden="1"/>
    <col min="14856" max="14856" width="12.7109375" hidden="1"/>
    <col min="14857" max="14857" width="12.42578125" hidden="1"/>
    <col min="14858" max="14858" width="4.140625" hidden="1"/>
    <col min="14859" max="15104" width="9.140625" hidden="1"/>
    <col min="15105" max="15105" width="2.28515625" hidden="1"/>
    <col min="15106" max="15106" width="14.85546875" hidden="1"/>
    <col min="15107" max="15107" width="16.42578125" hidden="1"/>
    <col min="15108" max="15108" width="7.42578125" hidden="1"/>
    <col min="15109" max="15109" width="8.140625" hidden="1"/>
    <col min="15110" max="15110" width="9.7109375" hidden="1"/>
    <col min="15111" max="15111" width="11.5703125" hidden="1"/>
    <col min="15112" max="15112" width="12.7109375" hidden="1"/>
    <col min="15113" max="15113" width="12.42578125" hidden="1"/>
    <col min="15114" max="15114" width="4.140625" hidden="1"/>
    <col min="15115" max="15360" width="9.140625" hidden="1"/>
    <col min="15361" max="15361" width="2.28515625" hidden="1"/>
    <col min="15362" max="15362" width="14.85546875" hidden="1"/>
    <col min="15363" max="15363" width="16.42578125" hidden="1"/>
    <col min="15364" max="15364" width="7.42578125" hidden="1"/>
    <col min="15365" max="15365" width="8.140625" hidden="1"/>
    <col min="15366" max="15366" width="9.7109375" hidden="1"/>
    <col min="15367" max="15367" width="11.5703125" hidden="1"/>
    <col min="15368" max="15368" width="12.7109375" hidden="1"/>
    <col min="15369" max="15369" width="12.42578125" hidden="1"/>
    <col min="15370" max="15370" width="4.140625" hidden="1"/>
    <col min="15371" max="15616" width="9.140625" hidden="1"/>
    <col min="15617" max="15617" width="2.28515625" hidden="1"/>
    <col min="15618" max="15618" width="14.85546875" hidden="1"/>
    <col min="15619" max="15619" width="16.42578125" hidden="1"/>
    <col min="15620" max="15620" width="7.42578125" hidden="1"/>
    <col min="15621" max="15621" width="8.140625" hidden="1"/>
    <col min="15622" max="15622" width="9.7109375" hidden="1"/>
    <col min="15623" max="15623" width="11.5703125" hidden="1"/>
    <col min="15624" max="15624" width="12.7109375" hidden="1"/>
    <col min="15625" max="15625" width="12.42578125" hidden="1"/>
    <col min="15626" max="15626" width="4.140625" hidden="1"/>
    <col min="15627" max="15872" width="9.140625" hidden="1"/>
    <col min="15873" max="15873" width="2.28515625" hidden="1"/>
    <col min="15874" max="15874" width="14.85546875" hidden="1"/>
    <col min="15875" max="15875" width="16.42578125" hidden="1"/>
    <col min="15876" max="15876" width="7.42578125" hidden="1"/>
    <col min="15877" max="15877" width="8.140625" hidden="1"/>
    <col min="15878" max="15878" width="9.7109375" hidden="1"/>
    <col min="15879" max="15879" width="11.5703125" hidden="1"/>
    <col min="15880" max="15880" width="12.7109375" hidden="1"/>
    <col min="15881" max="15881" width="12.42578125" hidden="1"/>
    <col min="15882" max="15882" width="4.140625" hidden="1"/>
    <col min="15883" max="16128" width="9.140625" hidden="1"/>
    <col min="16129" max="16129" width="2.28515625" hidden="1"/>
    <col min="16130" max="16130" width="14.85546875" hidden="1"/>
    <col min="16131" max="16131" width="16.42578125" hidden="1"/>
    <col min="16132" max="16132" width="7.42578125" hidden="1"/>
    <col min="16133" max="16133" width="8.140625" hidden="1"/>
    <col min="16134" max="16134" width="9.7109375" hidden="1"/>
    <col min="16135" max="16135" width="11.5703125" hidden="1"/>
    <col min="16136" max="16136" width="12.7109375" hidden="1"/>
    <col min="16137" max="16137" width="12.42578125" hidden="1"/>
    <col min="16138" max="16138" width="4.140625" hidden="1"/>
    <col min="16139" max="16383" width="9.140625" hidden="1"/>
    <col min="16384" max="16384" width="10.28515625" hidden="1" customWidth="1"/>
  </cols>
  <sheetData>
    <row r="1" spans="1:11 16384:16384" ht="89.25" x14ac:dyDescent="1.3">
      <c r="A1" s="275" t="s">
        <v>12</v>
      </c>
      <c r="B1" s="275"/>
      <c r="C1" s="275"/>
      <c r="D1" s="275"/>
      <c r="E1" s="275"/>
      <c r="F1" s="275"/>
      <c r="G1" s="275"/>
      <c r="H1" s="275"/>
      <c r="I1" s="275"/>
      <c r="J1" s="275"/>
      <c r="XFD1" s="31" t="s">
        <v>27</v>
      </c>
    </row>
    <row r="2" spans="1:11 16384:16384" ht="25.5" x14ac:dyDescent="0.35">
      <c r="A2" s="271" t="s">
        <v>13</v>
      </c>
      <c r="B2" s="271"/>
      <c r="C2" s="271"/>
      <c r="D2" s="271"/>
      <c r="E2" s="271"/>
      <c r="F2" s="271"/>
      <c r="G2" s="271"/>
      <c r="H2" s="271"/>
      <c r="I2" s="271"/>
      <c r="J2" s="271"/>
    </row>
    <row r="3" spans="1:11 16384:16384" ht="89.25" x14ac:dyDescent="1.3">
      <c r="A3" s="272" t="s">
        <v>14</v>
      </c>
      <c r="B3" s="272"/>
      <c r="C3" s="272"/>
      <c r="D3" s="272"/>
      <c r="E3" s="272"/>
      <c r="F3" s="272"/>
      <c r="G3" s="272"/>
      <c r="H3" s="272"/>
      <c r="I3" s="272"/>
      <c r="J3" s="272"/>
      <c r="XFD3" s="31" t="s">
        <v>27</v>
      </c>
    </row>
    <row r="4" spans="1:11 16384:16384" x14ac:dyDescent="0.25">
      <c r="A4" s="15"/>
      <c r="B4" s="276" t="str">
        <f>IF(MODULO!$E$139&lt;&gt;"",CONCATENATE("Lotto n° ",MODULO!$E$139),"")</f>
        <v/>
      </c>
      <c r="C4" s="277"/>
      <c r="D4" s="277"/>
      <c r="E4" s="277"/>
      <c r="F4" s="277"/>
      <c r="G4" s="277"/>
      <c r="H4" s="277"/>
      <c r="I4" s="278"/>
      <c r="J4" s="15"/>
    </row>
    <row r="5" spans="1:11 16384:16384" x14ac:dyDescent="0.25">
      <c r="B5" s="16" t="s">
        <v>15</v>
      </c>
      <c r="C5" s="102">
        <f>MODULO!F139</f>
        <v>0</v>
      </c>
      <c r="D5" s="270" t="s">
        <v>45</v>
      </c>
      <c r="E5" s="270"/>
      <c r="F5" s="270"/>
      <c r="G5" s="270" t="s">
        <v>16</v>
      </c>
      <c r="H5" s="270"/>
      <c r="I5" s="270"/>
      <c r="K5" s="1"/>
    </row>
    <row r="6" spans="1:11 16384:16384" x14ac:dyDescent="0.25">
      <c r="B6" s="17" t="s">
        <v>17</v>
      </c>
      <c r="C6" s="17" t="s">
        <v>18</v>
      </c>
      <c r="D6" s="18" t="s">
        <v>19</v>
      </c>
      <c r="E6" s="18" t="s">
        <v>20</v>
      </c>
      <c r="F6" s="18" t="s">
        <v>21</v>
      </c>
      <c r="G6" s="18" t="s">
        <v>19</v>
      </c>
      <c r="H6" s="18" t="s">
        <v>20</v>
      </c>
      <c r="I6" s="19">
        <v>0.5</v>
      </c>
    </row>
    <row r="7" spans="1:11 16384:16384" x14ac:dyDescent="0.25">
      <c r="B7" s="100">
        <v>0</v>
      </c>
      <c r="C7" s="100">
        <v>5164.57</v>
      </c>
      <c r="D7" s="25">
        <v>6.5686</v>
      </c>
      <c r="E7" s="25">
        <v>13.1531</v>
      </c>
      <c r="F7" s="25">
        <f t="shared" ref="F7:F13" si="0">(D7+E7)/2</f>
        <v>9.8608499999999992</v>
      </c>
      <c r="G7" s="96" t="str">
        <f>IF(C$5&gt;B7,IF(C$5&lt;=C7,(C$5-B7)*D7/100,(C7-B7)*D7/100),"-")</f>
        <v>-</v>
      </c>
      <c r="H7" s="96" t="str">
        <f t="shared" ref="H7:H13" si="1">IF(C$5&gt;B7,IF(C$5&lt;=C7,(C$5-B7)*E7/100,(C7-B7)*E7/100),"-")</f>
        <v>-</v>
      </c>
      <c r="I7" s="97">
        <f>IF(G7&lt;&gt;"-",G7+(H7-G7)*$I$6,0)</f>
        <v>0</v>
      </c>
    </row>
    <row r="8" spans="1:11 16384:16384" x14ac:dyDescent="0.25">
      <c r="B8" s="100">
        <v>5164.58</v>
      </c>
      <c r="C8" s="100">
        <v>10329.14</v>
      </c>
      <c r="D8" s="25">
        <v>4.6896000000000004</v>
      </c>
      <c r="E8" s="25">
        <v>9.3950999999999993</v>
      </c>
      <c r="F8" s="25">
        <f t="shared" si="0"/>
        <v>7.0423499999999999</v>
      </c>
      <c r="G8" s="96" t="str">
        <f>IF(C$5&gt;B8,IF(C$5&lt;=C8,(C$5-B8)*D8/100,(C8-B8)*D8/100),"-")</f>
        <v>-</v>
      </c>
      <c r="H8" s="96" t="str">
        <f t="shared" si="1"/>
        <v>-</v>
      </c>
      <c r="I8" s="97">
        <f t="shared" ref="I8:I13" si="2">IF(G8&lt;&gt;"-",G8+(H8-G8)*$I$6,0)</f>
        <v>0</v>
      </c>
    </row>
    <row r="9" spans="1:11 16384:16384" x14ac:dyDescent="0.25">
      <c r="B9" s="100">
        <v>10329.15</v>
      </c>
      <c r="C9" s="100">
        <v>25822.84</v>
      </c>
      <c r="D9" s="25">
        <v>3.758</v>
      </c>
      <c r="E9" s="25">
        <v>7.516</v>
      </c>
      <c r="F9" s="25">
        <f t="shared" si="0"/>
        <v>5.6370000000000005</v>
      </c>
      <c r="G9" s="96" t="str">
        <f t="shared" ref="G9" si="3">IF(C$5&gt;B9,IF(C$5&lt;=C9,(C$5-B9)*D9/100,(C9-B9)*D9/100),"-")</f>
        <v>-</v>
      </c>
      <c r="H9" s="96" t="str">
        <f t="shared" si="1"/>
        <v>-</v>
      </c>
      <c r="I9" s="97">
        <f t="shared" si="2"/>
        <v>0</v>
      </c>
    </row>
    <row r="10" spans="1:11 16384:16384" x14ac:dyDescent="0.25">
      <c r="B10" s="100">
        <v>25822.85</v>
      </c>
      <c r="C10" s="100">
        <v>51645.69</v>
      </c>
      <c r="D10" s="25">
        <v>2.8106</v>
      </c>
      <c r="E10" s="25">
        <v>5.6369999999999996</v>
      </c>
      <c r="F10" s="25">
        <f t="shared" si="0"/>
        <v>4.2237999999999998</v>
      </c>
      <c r="G10" s="96" t="str">
        <f>IF(C$5&gt;B10,IF(C$5&lt;=C10,(C$5-B10)*D10/100,(C10-B10)*D10/100),"-")</f>
        <v>-</v>
      </c>
      <c r="H10" s="96" t="str">
        <f t="shared" si="1"/>
        <v>-</v>
      </c>
      <c r="I10" s="97">
        <f t="shared" si="2"/>
        <v>0</v>
      </c>
    </row>
    <row r="11" spans="1:11 16384:16384" x14ac:dyDescent="0.25">
      <c r="B11" s="100">
        <v>51645.7</v>
      </c>
      <c r="C11" s="100">
        <v>103291.38</v>
      </c>
      <c r="D11" s="25">
        <v>1.879</v>
      </c>
      <c r="E11" s="25">
        <v>3.758</v>
      </c>
      <c r="F11" s="25">
        <f t="shared" si="0"/>
        <v>2.8185000000000002</v>
      </c>
      <c r="G11" s="96" t="str">
        <f>IF(C$5&gt;B11,IF(C$5&lt;=C11,(C$5-B11)*D11/100,(C11-B11)*D11/100),"-")</f>
        <v>-</v>
      </c>
      <c r="H11" s="96" t="str">
        <f t="shared" si="1"/>
        <v>-</v>
      </c>
      <c r="I11" s="97">
        <f t="shared" si="2"/>
        <v>0</v>
      </c>
    </row>
    <row r="12" spans="1:11 16384:16384" x14ac:dyDescent="0.25">
      <c r="B12" s="100">
        <v>103291.39</v>
      </c>
      <c r="C12" s="100">
        <v>258228.45</v>
      </c>
      <c r="D12" s="25">
        <v>0.93159999999999998</v>
      </c>
      <c r="E12" s="25">
        <v>1.879</v>
      </c>
      <c r="F12" s="25">
        <f t="shared" si="0"/>
        <v>1.4053</v>
      </c>
      <c r="G12" s="96" t="str">
        <f>IF(C$5&gt;B12,IF(C$5&lt;=C12,(C$5-B12)*D12/100,(C12-B12)*D12/100),"-")</f>
        <v>-</v>
      </c>
      <c r="H12" s="96" t="str">
        <f t="shared" si="1"/>
        <v>-</v>
      </c>
      <c r="I12" s="97">
        <f t="shared" si="2"/>
        <v>0</v>
      </c>
    </row>
    <row r="13" spans="1:11 16384:16384" x14ac:dyDescent="0.25">
      <c r="B13" s="100">
        <v>258228.46</v>
      </c>
      <c r="C13" s="100">
        <v>516456.9</v>
      </c>
      <c r="D13" s="25">
        <v>0.23530000000000001</v>
      </c>
      <c r="E13" s="25">
        <v>0.47049999999999997</v>
      </c>
      <c r="F13" s="25">
        <f t="shared" si="0"/>
        <v>0.35289999999999999</v>
      </c>
      <c r="G13" s="96" t="str">
        <f>IF(C$5&gt;B13,IF(C$5&lt;=C13,(C$5-B13)*D13/100,(C13-B13)*D13/100),"-")</f>
        <v>-</v>
      </c>
      <c r="H13" s="96" t="str">
        <f t="shared" si="1"/>
        <v>-</v>
      </c>
      <c r="I13" s="97">
        <f t="shared" si="2"/>
        <v>0</v>
      </c>
    </row>
    <row r="14" spans="1:11 16384:16384" x14ac:dyDescent="0.25">
      <c r="B14" s="20"/>
      <c r="C14" s="20"/>
      <c r="D14" s="21"/>
      <c r="E14" s="21"/>
      <c r="F14" s="22" t="s">
        <v>22</v>
      </c>
      <c r="G14" s="98">
        <f>IF(SUM(G7:G13)&gt;145.12,SUM(G7:G13),145.12)</f>
        <v>145.12</v>
      </c>
      <c r="H14" s="98">
        <f>IF(SUM(H7:H13)&gt;145.12,SUM(H7:H13),145.12)</f>
        <v>145.12</v>
      </c>
      <c r="I14" s="98">
        <f>IF(SUM(I7:I13)&gt;145.12,SUM(I7:I13),145.12)</f>
        <v>145.12</v>
      </c>
    </row>
    <row r="15" spans="1:11 16384:16384" x14ac:dyDescent="0.25">
      <c r="A15" s="15"/>
      <c r="B15" s="269" t="str">
        <f>IF(MODULO!$E$140&lt;&gt;"",CONCATENATE("Lotto n° ",MODULO!$E$140),"")</f>
        <v/>
      </c>
      <c r="C15" s="269"/>
      <c r="D15" s="269"/>
      <c r="E15" s="269"/>
      <c r="F15" s="269"/>
      <c r="G15" s="269"/>
      <c r="H15" s="269"/>
      <c r="I15" s="269"/>
      <c r="J15" s="15"/>
    </row>
    <row r="16" spans="1:11 16384:16384" x14ac:dyDescent="0.25">
      <c r="B16" s="16" t="str">
        <f>IF(MODULO!$E$140&lt;&gt;"",$B$5,"")</f>
        <v/>
      </c>
      <c r="C16" s="102" t="str">
        <f>IF(MODULO!$E$140&lt;&gt;"",MODULO!$F$140,"")</f>
        <v/>
      </c>
      <c r="D16" s="270" t="str">
        <f>IF(MODULO!$E$140&lt;&gt;"",$D$5,"")</f>
        <v/>
      </c>
      <c r="E16" s="270"/>
      <c r="F16" s="270"/>
      <c r="G16" s="270" t="str">
        <f>IF(MODULO!$E$140&lt;&gt;"",$G$5,"")</f>
        <v/>
      </c>
      <c r="H16" s="270"/>
      <c r="I16" s="270"/>
    </row>
    <row r="17" spans="1:10" x14ac:dyDescent="0.25">
      <c r="B17" s="17" t="str">
        <f>IF(MODULO!$E$140&lt;&gt;"",$B$6,"")</f>
        <v/>
      </c>
      <c r="C17" s="17" t="str">
        <f>IF(MODULO!$E$140&lt;&gt;"",$C$6,"")</f>
        <v/>
      </c>
      <c r="D17" s="18" t="str">
        <f>IF(MODULO!$E$140&lt;&gt;"",$D$6,"")</f>
        <v/>
      </c>
      <c r="E17" s="18" t="str">
        <f>IF(MODULO!$E$140&lt;&gt;"",$E$6,"")</f>
        <v/>
      </c>
      <c r="F17" s="18" t="str">
        <f>IF(MODULO!$E$140&lt;&gt;"",$F$6,"")</f>
        <v/>
      </c>
      <c r="G17" s="18" t="str">
        <f>IF(MODULO!$E$140&lt;&gt;"",$G$6,"")</f>
        <v/>
      </c>
      <c r="H17" s="18" t="str">
        <f>IF(MODULO!$E$140&lt;&gt;"",$H$6,"")</f>
        <v/>
      </c>
      <c r="I17" s="19" t="str">
        <f>IF(MODULO!$E$140&lt;&gt;"",$I$6,"")</f>
        <v/>
      </c>
    </row>
    <row r="18" spans="1:10" x14ac:dyDescent="0.25">
      <c r="B18" s="100" t="str">
        <f>IF(MODULO!$E$140&lt;&gt;"",$B$7,"")</f>
        <v/>
      </c>
      <c r="C18" s="100" t="str">
        <f>IF(MODULO!$E$140&lt;&gt;"",$C$7,"")</f>
        <v/>
      </c>
      <c r="D18" s="25" t="str">
        <f>IF(MODULO!$E$140&lt;&gt;"",$D$7,"")</f>
        <v/>
      </c>
      <c r="E18" s="25" t="str">
        <f>IF(MODULO!$E$140&lt;&gt;"",$E$7,"")</f>
        <v/>
      </c>
      <c r="F18" s="25" t="str">
        <f>IF(MODULO!$E$140&lt;&gt;"",$F$7,"")</f>
        <v/>
      </c>
      <c r="G18" s="96" t="str">
        <f>IF(MODULO!$E$140&lt;&gt;"",IF(C$16&gt;B18,IF(C$16&lt;=C18,(C$16-B18)*D18/100,(C18-B18)*D18/100),0),"")</f>
        <v/>
      </c>
      <c r="H18" s="96" t="str">
        <f>IF(MODULO!$E$140&lt;&gt;"",IF(C$16&gt;B18,IF(C$16&lt;=C18,(C$16-B18)*E18/100,(C18-B18)*E18/100),0),"")</f>
        <v/>
      </c>
      <c r="I18" s="97" t="str">
        <f>IF(MODULO!$E$140&lt;&gt;"",IF(G18&lt;&gt;0,G18+(H18-G18)*0.5,0),"")</f>
        <v/>
      </c>
    </row>
    <row r="19" spans="1:10" x14ac:dyDescent="0.25">
      <c r="B19" s="100" t="str">
        <f>IF(MODULO!$E$140&lt;&gt;"",$B$8,"")</f>
        <v/>
      </c>
      <c r="C19" s="100" t="str">
        <f>IF(MODULO!$E$140&lt;&gt;"",$C$8,"")</f>
        <v/>
      </c>
      <c r="D19" s="25" t="str">
        <f>IF(MODULO!$E$140&lt;&gt;"",$D$8,"")</f>
        <v/>
      </c>
      <c r="E19" s="25" t="str">
        <f>IF(MODULO!$E$140&lt;&gt;"",$E$8,"")</f>
        <v/>
      </c>
      <c r="F19" s="25" t="str">
        <f>IF(MODULO!$E$140&lt;&gt;"",$F$8,"")</f>
        <v/>
      </c>
      <c r="G19" s="96" t="str">
        <f>IF(MODULO!$E$140&lt;&gt;"",IF(C$16&gt;B19,IF(C$16&lt;=C19,(C$16-B19)*D19/100,(C19-B19)*D19/100),0),"")</f>
        <v/>
      </c>
      <c r="H19" s="96" t="str">
        <f>IF(MODULO!$E$140&lt;&gt;"",IF(C$16&gt;B19,IF(C$16&lt;=C19,(C$16-B19)*E19/100,(C19-B19)*E19/100),0),"")</f>
        <v/>
      </c>
      <c r="I19" s="97" t="str">
        <f>IF(MODULO!$E$140&lt;&gt;"",IF(G19&lt;&gt;0,G19+(H19-G19)*0.5,0),"")</f>
        <v/>
      </c>
    </row>
    <row r="20" spans="1:10" x14ac:dyDescent="0.25">
      <c r="B20" s="100" t="str">
        <f>IF(MODULO!$E$140&lt;&gt;"",$B$9,"")</f>
        <v/>
      </c>
      <c r="C20" s="100" t="str">
        <f>IF(MODULO!$E$140&lt;&gt;"",$C$9,"")</f>
        <v/>
      </c>
      <c r="D20" s="25" t="str">
        <f>IF(MODULO!$E$140&lt;&gt;"",$D$9,"")</f>
        <v/>
      </c>
      <c r="E20" s="25" t="str">
        <f>IF(MODULO!$E$140&lt;&gt;"",$E$9,"")</f>
        <v/>
      </c>
      <c r="F20" s="25" t="str">
        <f>IF(MODULO!$E$140&lt;&gt;"",$F$9,"")</f>
        <v/>
      </c>
      <c r="G20" s="96" t="str">
        <f>IF(MODULO!$E$140&lt;&gt;"",IF(C$16&gt;B20,IF(C$16&lt;=C20,(C$16-B20)*D20/100,(C20-B20)*D20/100),0),"")</f>
        <v/>
      </c>
      <c r="H20" s="96" t="str">
        <f>IF(MODULO!$E$140&lt;&gt;"",IF(C$16&gt;B20,IF(C$16&lt;=C20,(C$16-B20)*E20/100,(C20-B20)*E20/100),0),"")</f>
        <v/>
      </c>
      <c r="I20" s="97" t="str">
        <f>IF(MODULO!$E$140&lt;&gt;"",IF(G20&lt;&gt;0,G20+(H20-G20)*0.5,0),"")</f>
        <v/>
      </c>
    </row>
    <row r="21" spans="1:10" x14ac:dyDescent="0.25">
      <c r="B21" s="100" t="str">
        <f>IF(MODULO!$E$140&lt;&gt;"",$B$10,"")</f>
        <v/>
      </c>
      <c r="C21" s="100" t="str">
        <f>IF(MODULO!$E$140&lt;&gt;"",$C$10,"")</f>
        <v/>
      </c>
      <c r="D21" s="25" t="str">
        <f>IF(MODULO!$E$140&lt;&gt;"",$D$10,"")</f>
        <v/>
      </c>
      <c r="E21" s="25" t="str">
        <f>IF(MODULO!$E$140&lt;&gt;"",$E$10,"")</f>
        <v/>
      </c>
      <c r="F21" s="25" t="str">
        <f>IF(MODULO!$E$140&lt;&gt;"",$F$10,"")</f>
        <v/>
      </c>
      <c r="G21" s="96" t="str">
        <f>IF(MODULO!$E$140&lt;&gt;"",IF(C$16&gt;B21,IF(C$16&lt;=C21,(C$16-B21)*D21/100,(C21-B21)*D21/100),0),"")</f>
        <v/>
      </c>
      <c r="H21" s="96" t="str">
        <f>IF(MODULO!$E$140&lt;&gt;"",IF(C$16&gt;B21,IF(C$16&lt;=C21,(C$16-B21)*E21/100,(C21-B21)*E21/100),0),"")</f>
        <v/>
      </c>
      <c r="I21" s="97" t="str">
        <f>IF(MODULO!$E$140&lt;&gt;"",IF(G21&lt;&gt;0,G21+(H21-G21)*0.5,0),"")</f>
        <v/>
      </c>
    </row>
    <row r="22" spans="1:10" x14ac:dyDescent="0.25">
      <c r="B22" s="100" t="str">
        <f>IF(MODULO!$E$140&lt;&gt;"",$B$11,"")</f>
        <v/>
      </c>
      <c r="C22" s="100" t="str">
        <f>IF(MODULO!$E$140&lt;&gt;"",$C$11,"")</f>
        <v/>
      </c>
      <c r="D22" s="25" t="str">
        <f>IF(MODULO!$E$140&lt;&gt;"",$D$11,"")</f>
        <v/>
      </c>
      <c r="E22" s="25" t="str">
        <f>IF(MODULO!$E$140&lt;&gt;"",$E$11,"")</f>
        <v/>
      </c>
      <c r="F22" s="25" t="str">
        <f>IF(MODULO!$E$140&lt;&gt;"",$F$11,"")</f>
        <v/>
      </c>
      <c r="G22" s="96" t="str">
        <f>IF(MODULO!$E$140&lt;&gt;"",IF(C$16&gt;B22,IF(C$16&lt;=C22,(C$16-B22)*D22/100,(C22-B22)*D22/100),0),"")</f>
        <v/>
      </c>
      <c r="H22" s="96" t="str">
        <f>IF(MODULO!$E$140&lt;&gt;"",IF(C$16&gt;B22,IF(C$16&lt;=C22,(C$16-B22)*E22/100,(C22-B22)*E22/100),0),"")</f>
        <v/>
      </c>
      <c r="I22" s="97" t="str">
        <f>IF(MODULO!$E$140&lt;&gt;"",IF(G22&lt;&gt;0,G22+(H22-G22)*0.5,0),"")</f>
        <v/>
      </c>
    </row>
    <row r="23" spans="1:10" x14ac:dyDescent="0.25">
      <c r="B23" s="100" t="str">
        <f>IF(MODULO!$E$140&lt;&gt;"",$B$12,"")</f>
        <v/>
      </c>
      <c r="C23" s="100" t="str">
        <f>IF(MODULO!$E$140&lt;&gt;"",$C$12,"")</f>
        <v/>
      </c>
      <c r="D23" s="25" t="str">
        <f>IF(MODULO!$E$140&lt;&gt;"",$D$12,"")</f>
        <v/>
      </c>
      <c r="E23" s="25" t="str">
        <f>IF(MODULO!$E$140&lt;&gt;"",$E$12,"")</f>
        <v/>
      </c>
      <c r="F23" s="25" t="str">
        <f>IF(MODULO!$E$140&lt;&gt;"",$F$12,"")</f>
        <v/>
      </c>
      <c r="G23" s="96" t="str">
        <f>IF(MODULO!$E$140&lt;&gt;"",IF(C$16&gt;B23,IF(C$16&lt;=C23,(C$16-B23)*D23/100,(C23-B23)*D23/100),0),"")</f>
        <v/>
      </c>
      <c r="H23" s="96" t="str">
        <f>IF(MODULO!$E$140&lt;&gt;"",IF(C$16&gt;B23,IF(C$16&lt;=C23,(C$16-B23)*E23/100,(C23-B23)*E23/100),0),"")</f>
        <v/>
      </c>
      <c r="I23" s="97" t="str">
        <f>IF(MODULO!$E$140&lt;&gt;"",IF(G23&lt;&gt;0,G23+(H23-G23)*0.5,0),"")</f>
        <v/>
      </c>
    </row>
    <row r="24" spans="1:10" x14ac:dyDescent="0.25">
      <c r="B24" s="100" t="str">
        <f>IF(MODULO!$E$140&lt;&gt;"",$B$13,"")</f>
        <v/>
      </c>
      <c r="C24" s="100" t="str">
        <f>IF(MODULO!$E$140&lt;&gt;"",$C$13,"")</f>
        <v/>
      </c>
      <c r="D24" s="25" t="str">
        <f>IF(MODULO!$E$140&lt;&gt;"",$D$13,"")</f>
        <v/>
      </c>
      <c r="E24" s="25" t="str">
        <f>IF(MODULO!$E$140&lt;&gt;"",$E$13,"")</f>
        <v/>
      </c>
      <c r="F24" s="25" t="str">
        <f>IF(MODULO!$E$140&lt;&gt;"",$F$13,"")</f>
        <v/>
      </c>
      <c r="G24" s="96" t="str">
        <f>IF(MODULO!$E$140&lt;&gt;"",IF(C$16&gt;B24,IF(C$16&lt;=C24,(C$16-B24)*D24/100,(C24-B24)*D24/100),0),"")</f>
        <v/>
      </c>
      <c r="H24" s="96" t="str">
        <f>IF(MODULO!$E$140&lt;&gt;"",IF(C$16&gt;B24,IF(C$16&lt;=C24,(C$16-B24)*E24/100,(C24-B24)*E24/100),0),"")</f>
        <v/>
      </c>
      <c r="I24" s="97" t="str">
        <f>IF(MODULO!$E$140&lt;&gt;"",IF(G24&lt;&gt;0,G24+(H24-G24)*0.5,0),"")</f>
        <v/>
      </c>
    </row>
    <row r="25" spans="1:10" x14ac:dyDescent="0.25">
      <c r="B25" s="20"/>
      <c r="C25" s="20"/>
      <c r="D25" s="21"/>
      <c r="E25" s="21"/>
      <c r="F25" s="22" t="str">
        <f>IF(MODULO!$E$140&lt;&gt;"",$F$14,"")</f>
        <v/>
      </c>
      <c r="G25" s="98" t="str">
        <f>IF(MODULO!$E$140&lt;&gt;"",IF(SUM(G18:G24)&gt;145.12,SUM(G18:G24),145.12),"")</f>
        <v/>
      </c>
      <c r="H25" s="98" t="str">
        <f>IF(MODULO!$E$140&lt;&gt;"",IF(SUM(H18:H24)&gt;145.12,SUM(H18:H24),145.12),"")</f>
        <v/>
      </c>
      <c r="I25" s="98" t="str">
        <f>IF(MODULO!$E$140&lt;&gt;"",IF(SUM(I18:I24)&gt;145.12,SUM(I18:I24),145.12),"")</f>
        <v/>
      </c>
    </row>
    <row r="26" spans="1:10" x14ac:dyDescent="0.25">
      <c r="A26" s="15"/>
      <c r="B26" s="269" t="str">
        <f>IF(MODULO!$E$141&lt;&gt;"",CONCATENATE("Lotto n° ",MODULO!$E$141),"")</f>
        <v/>
      </c>
      <c r="C26" s="269"/>
      <c r="D26" s="269"/>
      <c r="E26" s="269"/>
      <c r="F26" s="269"/>
      <c r="G26" s="269"/>
      <c r="H26" s="269"/>
      <c r="I26" s="269"/>
      <c r="J26" s="15"/>
    </row>
    <row r="27" spans="1:10" x14ac:dyDescent="0.25">
      <c r="B27" s="16" t="str">
        <f>IF(MODULO!$E$141&lt;&gt;"",$B$5,"")</f>
        <v/>
      </c>
      <c r="C27" s="102" t="str">
        <f>IF(MODULO!$E$141&lt;&gt;"",MODULO!$F$141,"")</f>
        <v/>
      </c>
      <c r="D27" s="270" t="str">
        <f>IF(MODULO!$E$141&lt;&gt;"",$D$5,"")</f>
        <v/>
      </c>
      <c r="E27" s="270"/>
      <c r="F27" s="270"/>
      <c r="G27" s="270" t="str">
        <f>IF(MODULO!$E$141&lt;&gt;"",$G$5,"")</f>
        <v/>
      </c>
      <c r="H27" s="270"/>
      <c r="I27" s="270"/>
    </row>
    <row r="28" spans="1:10" x14ac:dyDescent="0.25">
      <c r="B28" s="17" t="str">
        <f>IF(MODULO!$E$141&lt;&gt;"",$B$6,"")</f>
        <v/>
      </c>
      <c r="C28" s="17" t="str">
        <f>IF(MODULO!$E$141&lt;&gt;"",$C$6,"")</f>
        <v/>
      </c>
      <c r="D28" s="18" t="str">
        <f>IF(MODULO!$E$141&lt;&gt;"",$D$6,"")</f>
        <v/>
      </c>
      <c r="E28" s="18" t="str">
        <f>IF(MODULO!$E$141&lt;&gt;"",$E$6,"")</f>
        <v/>
      </c>
      <c r="F28" s="18" t="str">
        <f>IF(MODULO!$E$141&lt;&gt;"",$F$6,"")</f>
        <v/>
      </c>
      <c r="G28" s="18" t="str">
        <f>IF(MODULO!$E$141&lt;&gt;"",$G$6,"")</f>
        <v/>
      </c>
      <c r="H28" s="18" t="str">
        <f>IF(MODULO!$E$141&lt;&gt;"",$H$6,"")</f>
        <v/>
      </c>
      <c r="I28" s="19" t="str">
        <f>IF(MODULO!$E$141&lt;&gt;"",$I$6,"")</f>
        <v/>
      </c>
    </row>
    <row r="29" spans="1:10" x14ac:dyDescent="0.25">
      <c r="B29" s="100" t="str">
        <f>IF(MODULO!$E$141&lt;&gt;"",$B$7,"")</f>
        <v/>
      </c>
      <c r="C29" s="100" t="str">
        <f>IF(MODULO!$E$141&lt;&gt;"",$C$7,"")</f>
        <v/>
      </c>
      <c r="D29" s="25" t="str">
        <f>IF(MODULO!$E$141&lt;&gt;"",$D$7,"")</f>
        <v/>
      </c>
      <c r="E29" s="25" t="str">
        <f>IF(MODULO!$E$141&lt;&gt;"",$E$7,"")</f>
        <v/>
      </c>
      <c r="F29" s="25" t="str">
        <f>IF(MODULO!$E$141&lt;&gt;"",$F$7,"")</f>
        <v/>
      </c>
      <c r="G29" s="96" t="str">
        <f>IF(MODULO!$E$141&lt;&gt;"",IF(C$27&gt;B29,IF(C$27&lt;=C29,(C$27-B29)*D29/100,(C29-B29)*D29/100),0),"")</f>
        <v/>
      </c>
      <c r="H29" s="96" t="str">
        <f>IF(MODULO!$E$141&lt;&gt;"",IF(C$27&gt;B29,IF(C$27&lt;=C29,(C$27-B29)*E29/100,(C29-B29)*E29/100),0),"")</f>
        <v/>
      </c>
      <c r="I29" s="97" t="str">
        <f>IF(MODULO!$E$141&lt;&gt;"",IF(G29&lt;&gt;0,G29+(H29-G29)*0.5,0),"")</f>
        <v/>
      </c>
    </row>
    <row r="30" spans="1:10" x14ac:dyDescent="0.25">
      <c r="B30" s="100" t="str">
        <f>IF(MODULO!$E$141&lt;&gt;"",$B$8,"")</f>
        <v/>
      </c>
      <c r="C30" s="100" t="str">
        <f>IF(MODULO!$E$141&lt;&gt;"",$C$8,"")</f>
        <v/>
      </c>
      <c r="D30" s="25" t="str">
        <f>IF(MODULO!$E$141&lt;&gt;"",$D$8,"")</f>
        <v/>
      </c>
      <c r="E30" s="25" t="str">
        <f>IF(MODULO!$E$141&lt;&gt;"",$E$8,"")</f>
        <v/>
      </c>
      <c r="F30" s="25" t="str">
        <f>IF(MODULO!$E$141&lt;&gt;"",$F$8,"")</f>
        <v/>
      </c>
      <c r="G30" s="96" t="str">
        <f>IF(MODULO!$E$141&lt;&gt;"",IF(C$27&gt;B30,IF(C$27&lt;=C30,(C$27-B30)*D30/100,(C30-B30)*D30/100),0),"")</f>
        <v/>
      </c>
      <c r="H30" s="96" t="str">
        <f>IF(MODULO!$E$141&lt;&gt;"",IF(C$27&gt;B30,IF(C$27&lt;=C30,(C$27-B30)*E30/100,(C30-B30)*E30/100),0),"")</f>
        <v/>
      </c>
      <c r="I30" s="97" t="str">
        <f>IF(MODULO!$E$141&lt;&gt;"",IF(G30&lt;&gt;0,G30+(H30-G30)*0.5,0),"")</f>
        <v/>
      </c>
    </row>
    <row r="31" spans="1:10" x14ac:dyDescent="0.25">
      <c r="B31" s="100" t="str">
        <f>IF(MODULO!$E$141&lt;&gt;"",$B$9,"")</f>
        <v/>
      </c>
      <c r="C31" s="100" t="str">
        <f>IF(MODULO!$E$141&lt;&gt;"",$C$9,"")</f>
        <v/>
      </c>
      <c r="D31" s="25" t="str">
        <f>IF(MODULO!$E$141&lt;&gt;"",$D$9,"")</f>
        <v/>
      </c>
      <c r="E31" s="25" t="str">
        <f>IF(MODULO!$E$141&lt;&gt;"",$E$9,"")</f>
        <v/>
      </c>
      <c r="F31" s="25" t="str">
        <f>IF(MODULO!$E$141&lt;&gt;"",$F$9,"")</f>
        <v/>
      </c>
      <c r="G31" s="96" t="str">
        <f>IF(MODULO!$E$141&lt;&gt;"",IF(C$27&gt;B31,IF(C$27&lt;=C31,(C$27-B31)*D31/100,(C31-B31)*D31/100),0),"")</f>
        <v/>
      </c>
      <c r="H31" s="96" t="str">
        <f>IF(MODULO!$E$141&lt;&gt;"",IF(C$27&gt;B31,IF(C$27&lt;=C31,(C$27-B31)*E31/100,(C31-B31)*E31/100),0),"")</f>
        <v/>
      </c>
      <c r="I31" s="97" t="str">
        <f>IF(MODULO!$E$141&lt;&gt;"",IF(G31&lt;&gt;0,G31+(H31-G31)*0.5,0),"")</f>
        <v/>
      </c>
    </row>
    <row r="32" spans="1:10" x14ac:dyDescent="0.25">
      <c r="B32" s="100" t="str">
        <f>IF(MODULO!$E$141&lt;&gt;"",$B$10,"")</f>
        <v/>
      </c>
      <c r="C32" s="100" t="str">
        <f>IF(MODULO!$E$141&lt;&gt;"",$C$10,"")</f>
        <v/>
      </c>
      <c r="D32" s="25" t="str">
        <f>IF(MODULO!$E$141&lt;&gt;"",$D$10,"")</f>
        <v/>
      </c>
      <c r="E32" s="25" t="str">
        <f>IF(MODULO!$E$141&lt;&gt;"",$E$10,"")</f>
        <v/>
      </c>
      <c r="F32" s="25" t="str">
        <f>IF(MODULO!$E$141&lt;&gt;"",$F$10,"")</f>
        <v/>
      </c>
      <c r="G32" s="96" t="str">
        <f>IF(MODULO!$E$141&lt;&gt;"",IF(C$27&gt;B32,IF(C$27&lt;=C32,(C$27-B32)*D32/100,(C32-B32)*D32/100),0),"")</f>
        <v/>
      </c>
      <c r="H32" s="96" t="str">
        <f>IF(MODULO!$E$141&lt;&gt;"",IF(C$27&gt;B32,IF(C$27&lt;=C32,(C$27-B32)*E32/100,(C32-B32)*E32/100),0),"")</f>
        <v/>
      </c>
      <c r="I32" s="97" t="str">
        <f>IF(MODULO!$E$141&lt;&gt;"",IF(G32&lt;&gt;0,G32+(H32-G32)*0.5,0),"")</f>
        <v/>
      </c>
    </row>
    <row r="33" spans="1:10" x14ac:dyDescent="0.25">
      <c r="B33" s="100" t="str">
        <f>IF(MODULO!$E$141&lt;&gt;"",$B$11,"")</f>
        <v/>
      </c>
      <c r="C33" s="100" t="str">
        <f>IF(MODULO!$E$141&lt;&gt;"",$C$11,"")</f>
        <v/>
      </c>
      <c r="D33" s="25" t="str">
        <f>IF(MODULO!$E$141&lt;&gt;"",$D$11,"")</f>
        <v/>
      </c>
      <c r="E33" s="25" t="str">
        <f>IF(MODULO!$E$141&lt;&gt;"",$E$11,"")</f>
        <v/>
      </c>
      <c r="F33" s="25" t="str">
        <f>IF(MODULO!$E$141&lt;&gt;"",$F$11,"")</f>
        <v/>
      </c>
      <c r="G33" s="96" t="str">
        <f>IF(MODULO!$E$141&lt;&gt;"",IF(C$27&gt;B33,IF(C$27&lt;=C33,(C$27-B33)*D33/100,(C33-B33)*D33/100),0),"")</f>
        <v/>
      </c>
      <c r="H33" s="96" t="str">
        <f>IF(MODULO!$E$141&lt;&gt;"",IF(C$27&gt;B33,IF(C$27&lt;=C33,(C$27-B33)*E33/100,(C33-B33)*E33/100),0),"")</f>
        <v/>
      </c>
      <c r="I33" s="97" t="str">
        <f>IF(MODULO!$E$141&lt;&gt;"",IF(G33&lt;&gt;0,G33+(H33-G33)*0.5,0),"")</f>
        <v/>
      </c>
    </row>
    <row r="34" spans="1:10" x14ac:dyDescent="0.25">
      <c r="B34" s="100" t="str">
        <f>IF(MODULO!$E$141&lt;&gt;"",$B$12,"")</f>
        <v/>
      </c>
      <c r="C34" s="100" t="str">
        <f>IF(MODULO!$E$141&lt;&gt;"",$C$12,"")</f>
        <v/>
      </c>
      <c r="D34" s="25" t="str">
        <f>IF(MODULO!$E$141&lt;&gt;"",$D$12,"")</f>
        <v/>
      </c>
      <c r="E34" s="25" t="str">
        <f>IF(MODULO!$E$141&lt;&gt;"",$E$12,"")</f>
        <v/>
      </c>
      <c r="F34" s="25" t="str">
        <f>IF(MODULO!$E$141&lt;&gt;"",$F$12,"")</f>
        <v/>
      </c>
      <c r="G34" s="96" t="str">
        <f>IF(MODULO!$E$141&lt;&gt;"",IF(C$27&gt;B34,IF(C$27&lt;=C34,(C$27-B34)*D34/100,(C34-B34)*D34/100),0),"")</f>
        <v/>
      </c>
      <c r="H34" s="96" t="str">
        <f>IF(MODULO!$E$141&lt;&gt;"",IF(C$27&gt;B34,IF(C$27&lt;=C34,(C$27-B34)*E34/100,(C34-B34)*E34/100),0),"")</f>
        <v/>
      </c>
      <c r="I34" s="97" t="str">
        <f>IF(MODULO!$E$141&lt;&gt;"",IF(G34&lt;&gt;0,G34+(H34-G34)*0.5,0),"")</f>
        <v/>
      </c>
    </row>
    <row r="35" spans="1:10" x14ac:dyDescent="0.25">
      <c r="B35" s="100" t="str">
        <f>IF(MODULO!$E$141&lt;&gt;"",$B$13,"")</f>
        <v/>
      </c>
      <c r="C35" s="100" t="str">
        <f>IF(MODULO!$E$141&lt;&gt;"",$C$13,"")</f>
        <v/>
      </c>
      <c r="D35" s="25" t="str">
        <f>IF(MODULO!$E$141&lt;&gt;"",$D$13,"")</f>
        <v/>
      </c>
      <c r="E35" s="25" t="str">
        <f>IF(MODULO!$E$141&lt;&gt;"",$E$13,"")</f>
        <v/>
      </c>
      <c r="F35" s="25" t="str">
        <f>IF(MODULO!$E$141&lt;&gt;"",$F$13,"")</f>
        <v/>
      </c>
      <c r="G35" s="96" t="str">
        <f>IF(MODULO!$E$141&lt;&gt;"",IF(C$27&gt;B35,IF(C$27&lt;=C35,(C$27-B35)*D35/100,(C35-B35)*D35/100),0),"")</f>
        <v/>
      </c>
      <c r="H35" s="96" t="str">
        <f>IF(MODULO!$E$141&lt;&gt;"",IF(C$27&gt;B35,IF(C$27&lt;=C35,(C$27-B35)*E35/100,(C35-B35)*E35/100),0),"")</f>
        <v/>
      </c>
      <c r="I35" s="97" t="str">
        <f>IF(MODULO!$E$141&lt;&gt;"",IF(G35&lt;&gt;0,G35+(H35-G35)*0.5,0),"")</f>
        <v/>
      </c>
    </row>
    <row r="36" spans="1:10" x14ac:dyDescent="0.25">
      <c r="B36" s="20"/>
      <c r="C36" s="20"/>
      <c r="D36" s="21"/>
      <c r="E36" s="21"/>
      <c r="F36" s="22" t="str">
        <f>IF(MODULO!$E$141&lt;&gt;"",$F$14,"")</f>
        <v/>
      </c>
      <c r="G36" s="98" t="str">
        <f>IF(MODULO!$E$141&lt;&gt;"",IF(SUM(G29:G35)&gt;145.12,SUM(G29:G35),145.12),"")</f>
        <v/>
      </c>
      <c r="H36" s="98" t="str">
        <f>IF(MODULO!$E$141&lt;&gt;"",IF(SUM(H29:H35)&gt;145.12,SUM(H29:H35),145.12),"")</f>
        <v/>
      </c>
      <c r="I36" s="98" t="str">
        <f>IF(MODULO!$E$141&lt;&gt;"",IF(SUM(I29:I35)&gt;145.12,SUM(I29:I35),145.12),"")</f>
        <v/>
      </c>
    </row>
    <row r="37" spans="1:10" x14ac:dyDescent="0.25">
      <c r="A37" s="15"/>
      <c r="B37" s="269" t="str">
        <f>IF(MODULO!$E$142&lt;&gt;"",CONCATENATE("Lotto n° ",MODULO!$E$142),"")</f>
        <v/>
      </c>
      <c r="C37" s="269"/>
      <c r="D37" s="269"/>
      <c r="E37" s="269"/>
      <c r="F37" s="269"/>
      <c r="G37" s="269"/>
      <c r="H37" s="269"/>
      <c r="I37" s="269"/>
      <c r="J37" s="15"/>
    </row>
    <row r="38" spans="1:10" x14ac:dyDescent="0.25">
      <c r="B38" s="16" t="str">
        <f>IF(MODULO!$E$142&lt;&gt;"",$B$5,"")</f>
        <v/>
      </c>
      <c r="C38" s="102" t="str">
        <f>IF(MODULO!$E$142&lt;&gt;"",MODULO!$F$142,"")</f>
        <v/>
      </c>
      <c r="D38" s="270" t="str">
        <f>IF(MODULO!$E$142&lt;&gt;"",$D$5,"")</f>
        <v/>
      </c>
      <c r="E38" s="270"/>
      <c r="F38" s="270"/>
      <c r="G38" s="270" t="str">
        <f>IF(MODULO!$E$142&lt;&gt;"",$G$5,"")</f>
        <v/>
      </c>
      <c r="H38" s="270"/>
      <c r="I38" s="270"/>
    </row>
    <row r="39" spans="1:10" x14ac:dyDescent="0.25">
      <c r="B39" s="17" t="str">
        <f>IF(MODULO!$E$142&lt;&gt;"",$B$6,"")</f>
        <v/>
      </c>
      <c r="C39" s="17" t="str">
        <f>IF(MODULO!$E$142&lt;&gt;"",$C$6,"")</f>
        <v/>
      </c>
      <c r="D39" s="18" t="str">
        <f>IF(MODULO!$E$142&lt;&gt;"",$D$6,"")</f>
        <v/>
      </c>
      <c r="E39" s="18" t="str">
        <f>IF(MODULO!$E$142&lt;&gt;"",$E$6,"")</f>
        <v/>
      </c>
      <c r="F39" s="18" t="str">
        <f>IF(MODULO!$E$142&lt;&gt;"",$F$6,"")</f>
        <v/>
      </c>
      <c r="G39" s="18" t="str">
        <f>IF(MODULO!$E$142&lt;&gt;"",$G$6,"")</f>
        <v/>
      </c>
      <c r="H39" s="18" t="str">
        <f>IF(MODULO!$E$142&lt;&gt;"",$H$6,"")</f>
        <v/>
      </c>
      <c r="I39" s="19" t="str">
        <f>IF(MODULO!$E$142&lt;&gt;"",$I$6,"")</f>
        <v/>
      </c>
    </row>
    <row r="40" spans="1:10" x14ac:dyDescent="0.25">
      <c r="B40" s="100" t="str">
        <f>IF(MODULO!$E$142&lt;&gt;"",$B$7,"")</f>
        <v/>
      </c>
      <c r="C40" s="100" t="str">
        <f>IF(MODULO!$E$142&lt;&gt;"",$C$7,"")</f>
        <v/>
      </c>
      <c r="D40" s="25" t="str">
        <f>IF(MODULO!$E$142&lt;&gt;"",$D$7,"")</f>
        <v/>
      </c>
      <c r="E40" s="25" t="str">
        <f>IF(MODULO!$E$142&lt;&gt;"",$E$7,"")</f>
        <v/>
      </c>
      <c r="F40" s="25" t="str">
        <f>IF(MODULO!$E$142&lt;&gt;"",$F$7,"")</f>
        <v/>
      </c>
      <c r="G40" s="96" t="str">
        <f>IF(MODULO!$E$142&lt;&gt;"",IF(C$38&gt;B40,IF(C$38&lt;=C40,(C$38-B40)*D40/100,(C40-B40)*D40/100),0),"")</f>
        <v/>
      </c>
      <c r="H40" s="96" t="str">
        <f>IF(MODULO!$E$142&lt;&gt;"",IF(C$38&gt;B40,IF(C$38&lt;=C40,(C$38-B40)*E40/100,(C40-B40)*E40/100),0),"")</f>
        <v/>
      </c>
      <c r="I40" s="97" t="str">
        <f>IF(MODULO!$E$142&lt;&gt;"",IF(G40&lt;&gt;0,G40+(H40-G40)*0.5,0),"")</f>
        <v/>
      </c>
    </row>
    <row r="41" spans="1:10" x14ac:dyDescent="0.25">
      <c r="B41" s="100" t="str">
        <f>IF(MODULO!$E$142&lt;&gt;"",$B$8,"")</f>
        <v/>
      </c>
      <c r="C41" s="100" t="str">
        <f>IF(MODULO!$E$142&lt;&gt;"",$C$8,"")</f>
        <v/>
      </c>
      <c r="D41" s="25" t="str">
        <f>IF(MODULO!$E$142&lt;&gt;"",$D$8,"")</f>
        <v/>
      </c>
      <c r="E41" s="25" t="str">
        <f>IF(MODULO!$E$142&lt;&gt;"",$E$8,"")</f>
        <v/>
      </c>
      <c r="F41" s="25" t="str">
        <f>IF(MODULO!$E$142&lt;&gt;"",$F$8,"")</f>
        <v/>
      </c>
      <c r="G41" s="96" t="str">
        <f>IF(MODULO!$E$142&lt;&gt;"",IF(C$38&gt;B41,IF(C$38&lt;=C41,(C$38-B41)*D41/100,(C41-B41)*D41/100),0),"")</f>
        <v/>
      </c>
      <c r="H41" s="96" t="str">
        <f>IF(MODULO!$E$142&lt;&gt;"",IF(C$38&gt;B41,IF(C$38&lt;=C41,(C$38-B41)*E41/100,(C41-B41)*E41/100),0),"")</f>
        <v/>
      </c>
      <c r="I41" s="97" t="str">
        <f>IF(MODULO!$E$142&lt;&gt;"",IF(G41&lt;&gt;0,G41+(H41-G41)*0.5,0),"")</f>
        <v/>
      </c>
    </row>
    <row r="42" spans="1:10" x14ac:dyDescent="0.25">
      <c r="B42" s="100" t="str">
        <f>IF(MODULO!$E$142&lt;&gt;"",$B$9,"")</f>
        <v/>
      </c>
      <c r="C42" s="100" t="str">
        <f>IF(MODULO!$E$142&lt;&gt;"",$C$9,"")</f>
        <v/>
      </c>
      <c r="D42" s="25" t="str">
        <f>IF(MODULO!$E$142&lt;&gt;"",$D$9,"")</f>
        <v/>
      </c>
      <c r="E42" s="25" t="str">
        <f>IF(MODULO!$E$142&lt;&gt;"",$E$9,"")</f>
        <v/>
      </c>
      <c r="F42" s="25" t="str">
        <f>IF(MODULO!$E$142&lt;&gt;"",$F$9,"")</f>
        <v/>
      </c>
      <c r="G42" s="96" t="str">
        <f>IF(MODULO!$E$142&lt;&gt;"",IF(C$38&gt;B42,IF(C$38&lt;=C42,(C$38-B42)*D42/100,(C42-B42)*D42/100),0),"")</f>
        <v/>
      </c>
      <c r="H42" s="96" t="str">
        <f>IF(MODULO!$E$142&lt;&gt;"",IF(C$38&gt;B42,IF(C$38&lt;=C42,(C$38-B42)*E42/100,(C42-B42)*E42/100),0),"")</f>
        <v/>
      </c>
      <c r="I42" s="97" t="str">
        <f>IF(MODULO!$E$142&lt;&gt;"",IF(G42&lt;&gt;0,G42+(H42-G42)*0.5,0),"")</f>
        <v/>
      </c>
    </row>
    <row r="43" spans="1:10" x14ac:dyDescent="0.25">
      <c r="B43" s="100" t="str">
        <f>IF(MODULO!$E$142&lt;&gt;"",$B$10,"")</f>
        <v/>
      </c>
      <c r="C43" s="100" t="str">
        <f>IF(MODULO!$E$142&lt;&gt;"",$C$10,"")</f>
        <v/>
      </c>
      <c r="D43" s="25" t="str">
        <f>IF(MODULO!$E$142&lt;&gt;"",$D$10,"")</f>
        <v/>
      </c>
      <c r="E43" s="25" t="str">
        <f>IF(MODULO!$E$142&lt;&gt;"",$E$10,"")</f>
        <v/>
      </c>
      <c r="F43" s="25" t="str">
        <f>IF(MODULO!$E$142&lt;&gt;"",$F$10,"")</f>
        <v/>
      </c>
      <c r="G43" s="96" t="str">
        <f>IF(MODULO!$E$142&lt;&gt;"",IF(C$38&gt;B43,IF(C$38&lt;=C43,(C$38-B43)*D43/100,(C43-B43)*D43/100),0),"")</f>
        <v/>
      </c>
      <c r="H43" s="96" t="str">
        <f>IF(MODULO!$E$142&lt;&gt;"",IF(C$38&gt;B43,IF(C$38&lt;=C43,(C$38-B43)*E43/100,(C43-B43)*E43/100),0),"")</f>
        <v/>
      </c>
      <c r="I43" s="97" t="str">
        <f>IF(MODULO!$E$142&lt;&gt;"",IF(G43&lt;&gt;0,G43+(H43-G43)*0.5,0),"")</f>
        <v/>
      </c>
    </row>
    <row r="44" spans="1:10" x14ac:dyDescent="0.25">
      <c r="B44" s="100" t="str">
        <f>IF(MODULO!$E$142&lt;&gt;"",$B$11,"")</f>
        <v/>
      </c>
      <c r="C44" s="100" t="str">
        <f>IF(MODULO!$E$142&lt;&gt;"",$C$11,"")</f>
        <v/>
      </c>
      <c r="D44" s="25" t="str">
        <f>IF(MODULO!$E$142&lt;&gt;"",$D$11,"")</f>
        <v/>
      </c>
      <c r="E44" s="25" t="str">
        <f>IF(MODULO!$E$142&lt;&gt;"",$E$11,"")</f>
        <v/>
      </c>
      <c r="F44" s="25" t="str">
        <f>IF(MODULO!$E$142&lt;&gt;"",$F$11,"")</f>
        <v/>
      </c>
      <c r="G44" s="96" t="str">
        <f>IF(MODULO!$E$142&lt;&gt;"",IF(C$38&gt;B44,IF(C$38&lt;=C44,(C$38-B44)*D44/100,(C44-B44)*D44/100),0),"")</f>
        <v/>
      </c>
      <c r="H44" s="96" t="str">
        <f>IF(MODULO!$E$142&lt;&gt;"",IF(C$38&gt;B44,IF(C$38&lt;=C44,(C$38-B44)*E44/100,(C44-B44)*E44/100),0),"")</f>
        <v/>
      </c>
      <c r="I44" s="97" t="str">
        <f>IF(MODULO!$E$142&lt;&gt;"",IF(G44&lt;&gt;0,G44+(H44-G44)*0.5,0),"")</f>
        <v/>
      </c>
    </row>
    <row r="45" spans="1:10" x14ac:dyDescent="0.25">
      <c r="B45" s="100" t="str">
        <f>IF(MODULO!$E$142&lt;&gt;"",$B$12,"")</f>
        <v/>
      </c>
      <c r="C45" s="100" t="str">
        <f>IF(MODULO!$E$142&lt;&gt;"",$C$12,"")</f>
        <v/>
      </c>
      <c r="D45" s="25" t="str">
        <f>IF(MODULO!$E$142&lt;&gt;"",$D$12,"")</f>
        <v/>
      </c>
      <c r="E45" s="25" t="str">
        <f>IF(MODULO!$E$142&lt;&gt;"",$E$12,"")</f>
        <v/>
      </c>
      <c r="F45" s="25" t="str">
        <f>IF(MODULO!$E$142&lt;&gt;"",$F$12,"")</f>
        <v/>
      </c>
      <c r="G45" s="96" t="str">
        <f>IF(MODULO!$E$142&lt;&gt;"",IF(C$38&gt;B45,IF(C$38&lt;=C45,(C$38-B45)*D45/100,(C45-B45)*D45/100),0),"")</f>
        <v/>
      </c>
      <c r="H45" s="96" t="str">
        <f>IF(MODULO!$E$142&lt;&gt;"",IF(C$38&gt;B45,IF(C$38&lt;=C45,(C$38-B45)*E45/100,(C45-B45)*E45/100),0),"")</f>
        <v/>
      </c>
      <c r="I45" s="97" t="str">
        <f>IF(MODULO!$E$142&lt;&gt;"",IF(G45&lt;&gt;0,G45+(H45-G45)*0.5,0),"")</f>
        <v/>
      </c>
    </row>
    <row r="46" spans="1:10" x14ac:dyDescent="0.25">
      <c r="B46" s="100" t="str">
        <f>IF(MODULO!$E$142&lt;&gt;"",$B$13,"")</f>
        <v/>
      </c>
      <c r="C46" s="100" t="str">
        <f>IF(MODULO!$E$142&lt;&gt;"",$C$13,"")</f>
        <v/>
      </c>
      <c r="D46" s="25" t="str">
        <f>IF(MODULO!$E$142&lt;&gt;"",$D$13,"")</f>
        <v/>
      </c>
      <c r="E46" s="25" t="str">
        <f>IF(MODULO!$E$142&lt;&gt;"",$E$13,"")</f>
        <v/>
      </c>
      <c r="F46" s="25" t="str">
        <f>IF(MODULO!$E$142&lt;&gt;"",$F$13,"")</f>
        <v/>
      </c>
      <c r="G46" s="96" t="str">
        <f>IF(MODULO!$E$142&lt;&gt;"",IF(C$38&gt;B46,IF(C$38&lt;=C46,(C$38-B46)*D46/100,(C46-B46)*D46/100),0),"")</f>
        <v/>
      </c>
      <c r="H46" s="96" t="str">
        <f>IF(MODULO!$E$142&lt;&gt;"",IF(C$38&gt;B46,IF(C$38&lt;=C46,(C$38-B46)*E46/100,(C46-B46)*E46/100),0),"")</f>
        <v/>
      </c>
      <c r="I46" s="97" t="str">
        <f>IF(MODULO!$E$142&lt;&gt;"",IF(G46&lt;&gt;0,G46+(H46-G46)*0.5,0),"")</f>
        <v/>
      </c>
    </row>
    <row r="47" spans="1:10" x14ac:dyDescent="0.25">
      <c r="B47" s="20"/>
      <c r="C47" s="20"/>
      <c r="D47" s="21"/>
      <c r="E47" s="21"/>
      <c r="F47" s="22" t="str">
        <f>IF(MODULO!$E$142&lt;&gt;"",$F$14,"")</f>
        <v/>
      </c>
      <c r="G47" s="98" t="str">
        <f>IF(MODULO!$E$142&lt;&gt;"",IF(SUM(G40:G46)&gt;145.12,SUM(G40:G46),145.12),"")</f>
        <v/>
      </c>
      <c r="H47" s="98" t="str">
        <f>IF(MODULO!$E$142&lt;&gt;"",IF(SUM(H40:H46)&gt;145.12,SUM(H40:H46),145.12),"")</f>
        <v/>
      </c>
      <c r="I47" s="98" t="str">
        <f>IF(MODULO!$E$142&lt;&gt;"",IF(SUM(I40:I46)&gt;145.12,SUM(I40:I46),145.12),"")</f>
        <v/>
      </c>
    </row>
    <row r="48" spans="1:10" x14ac:dyDescent="0.25">
      <c r="A48" s="15"/>
      <c r="B48" s="269" t="str">
        <f>IF(MODULO!$E$143&lt;&gt;"",CONCATENATE("Lotto n° ",MODULO!$E$143),"")</f>
        <v/>
      </c>
      <c r="C48" s="269"/>
      <c r="D48" s="269"/>
      <c r="E48" s="269"/>
      <c r="F48" s="269"/>
      <c r="G48" s="269"/>
      <c r="H48" s="269"/>
      <c r="I48" s="269"/>
      <c r="J48" s="15"/>
    </row>
    <row r="49" spans="1:10" x14ac:dyDescent="0.25">
      <c r="B49" s="16" t="str">
        <f>IF(MODULO!$E$143&lt;&gt;"",$B$5,"")</f>
        <v/>
      </c>
      <c r="C49" s="102" t="str">
        <f>IF(MODULO!$E$143&lt;&gt;"",MODULO!$F$143,"")</f>
        <v/>
      </c>
      <c r="D49" s="270" t="str">
        <f>IF(MODULO!$E$143&lt;&gt;"",$D$5,"")</f>
        <v/>
      </c>
      <c r="E49" s="270"/>
      <c r="F49" s="270"/>
      <c r="G49" s="270" t="str">
        <f>IF(MODULO!$E$143&lt;&gt;"",$G$5,"")</f>
        <v/>
      </c>
      <c r="H49" s="270"/>
      <c r="I49" s="270"/>
    </row>
    <row r="50" spans="1:10" x14ac:dyDescent="0.25">
      <c r="B50" s="24" t="str">
        <f>IF(MODULO!$E$143&lt;&gt;"",$B$6,"")</f>
        <v/>
      </c>
      <c r="C50" s="24" t="str">
        <f>IF(MODULO!$E$143&lt;&gt;"",$C$6,"")</f>
        <v/>
      </c>
      <c r="D50" s="25" t="str">
        <f>IF(MODULO!$E$143&lt;&gt;"",$D$6,"")</f>
        <v/>
      </c>
      <c r="E50" s="25" t="str">
        <f>IF(MODULO!$E$143&lt;&gt;"",$E$6,"")</f>
        <v/>
      </c>
      <c r="F50" s="25" t="str">
        <f>IF(MODULO!$E$143&lt;&gt;"",$F$6,"")</f>
        <v/>
      </c>
      <c r="G50" s="18" t="str">
        <f>IF(MODULO!$E$143&lt;&gt;"",$G$6,"")</f>
        <v/>
      </c>
      <c r="H50" s="18" t="str">
        <f>IF(MODULO!$E$143&lt;&gt;"",$H$6,"")</f>
        <v/>
      </c>
      <c r="I50" s="19" t="str">
        <f>IF(MODULO!$E$143&lt;&gt;"",$I$6,"")</f>
        <v/>
      </c>
    </row>
    <row r="51" spans="1:10" x14ac:dyDescent="0.25">
      <c r="B51" s="100" t="str">
        <f>IF(MODULO!$E$143&lt;&gt;"",$B$7,"")</f>
        <v/>
      </c>
      <c r="C51" s="100" t="str">
        <f>IF(MODULO!$E$143&lt;&gt;"",$C$7,"")</f>
        <v/>
      </c>
      <c r="D51" s="25" t="str">
        <f>IF(MODULO!$E$143&lt;&gt;"",$D$7,"")</f>
        <v/>
      </c>
      <c r="E51" s="25" t="str">
        <f>IF(MODULO!$E$143&lt;&gt;"",$E$7,"")</f>
        <v/>
      </c>
      <c r="F51" s="25" t="str">
        <f>IF(MODULO!$E$143&lt;&gt;"",$F$7,"")</f>
        <v/>
      </c>
      <c r="G51" s="96" t="str">
        <f>IF(MODULO!$E$143&lt;&gt;"",IF(C$49&gt;B51,IF(C$49&lt;=C51,(C$49-B51)*D51/100,(C51-B51)*D51/100),0),"")</f>
        <v/>
      </c>
      <c r="H51" s="96" t="str">
        <f>IF(MODULO!$E$143&lt;&gt;"",IF(C$49&gt;B51,IF(C$49&lt;=C51,(C$49-B51)*E51/100,(C51-B51)*E51/100),0),"")</f>
        <v/>
      </c>
      <c r="I51" s="97" t="str">
        <f>IF(MODULO!$E$143&lt;&gt;"",IF(G51&lt;&gt;0,G51+(H51-G51)*0.5,0),"")</f>
        <v/>
      </c>
    </row>
    <row r="52" spans="1:10" x14ac:dyDescent="0.25">
      <c r="B52" s="100" t="str">
        <f>IF(MODULO!$E$143&lt;&gt;"",$B$8,"")</f>
        <v/>
      </c>
      <c r="C52" s="100" t="str">
        <f>IF(MODULO!$E$143&lt;&gt;"",$C$8,"")</f>
        <v/>
      </c>
      <c r="D52" s="25" t="str">
        <f>IF(MODULO!$E$143&lt;&gt;"",$D$8,"")</f>
        <v/>
      </c>
      <c r="E52" s="25" t="str">
        <f>IF(MODULO!$E$143&lt;&gt;"",$E$8,"")</f>
        <v/>
      </c>
      <c r="F52" s="25" t="str">
        <f>IF(MODULO!$E$143&lt;&gt;"",$F$8,"")</f>
        <v/>
      </c>
      <c r="G52" s="96" t="str">
        <f>IF(MODULO!$E$143&lt;&gt;"",IF(C$49&gt;B52,IF(C$49&lt;=C52,(C$49-B52)*D52/100,(C52-B52)*D52/100),0),"")</f>
        <v/>
      </c>
      <c r="H52" s="96" t="str">
        <f>IF(MODULO!$E$143&lt;&gt;"",IF(C$49&gt;B52,IF(C$49&lt;=C52,(C$49-B52)*E52/100,(C52-B52)*E52/100),0),"")</f>
        <v/>
      </c>
      <c r="I52" s="97" t="str">
        <f>IF(MODULO!$E$143&lt;&gt;"",IF(G52&lt;&gt;0,G52+(H52-G52)*0.5,0),"")</f>
        <v/>
      </c>
    </row>
    <row r="53" spans="1:10" x14ac:dyDescent="0.25">
      <c r="B53" s="100" t="str">
        <f>IF(MODULO!$E$143&lt;&gt;"",$B$9,"")</f>
        <v/>
      </c>
      <c r="C53" s="100" t="str">
        <f>IF(MODULO!$E$143&lt;&gt;"",$C$9,"")</f>
        <v/>
      </c>
      <c r="D53" s="25" t="str">
        <f>IF(MODULO!$E$143&lt;&gt;"",$D$9,"")</f>
        <v/>
      </c>
      <c r="E53" s="25" t="str">
        <f>IF(MODULO!$E$143&lt;&gt;"",$E$9,"")</f>
        <v/>
      </c>
      <c r="F53" s="25" t="str">
        <f>IF(MODULO!$E$143&lt;&gt;"",$F$9,"")</f>
        <v/>
      </c>
      <c r="G53" s="96" t="str">
        <f>IF(MODULO!$E$143&lt;&gt;"",IF(C$49&gt;B53,IF(C$49&lt;=C53,(C$49-B53)*D53/100,(C53-B53)*D53/100),0),"")</f>
        <v/>
      </c>
      <c r="H53" s="96" t="str">
        <f>IF(MODULO!$E$143&lt;&gt;"",IF(C$49&gt;B53,IF(C$49&lt;=C53,(C$49-B53)*E53/100,(C53-B53)*E53/100),0),"")</f>
        <v/>
      </c>
      <c r="I53" s="97" t="str">
        <f>IF(MODULO!$E$143&lt;&gt;"",IF(G53&lt;&gt;0,G53+(H53-G53)*0.5,0),"")</f>
        <v/>
      </c>
    </row>
    <row r="54" spans="1:10" x14ac:dyDescent="0.25">
      <c r="B54" s="100" t="str">
        <f>IF(MODULO!$E$143&lt;&gt;"",$B$10,"")</f>
        <v/>
      </c>
      <c r="C54" s="100" t="str">
        <f>IF(MODULO!$E$143&lt;&gt;"",$C$10,"")</f>
        <v/>
      </c>
      <c r="D54" s="25" t="str">
        <f>IF(MODULO!$E$143&lt;&gt;"",$D$10,"")</f>
        <v/>
      </c>
      <c r="E54" s="25" t="str">
        <f>IF(MODULO!$E$143&lt;&gt;"",$E$10,"")</f>
        <v/>
      </c>
      <c r="F54" s="25" t="str">
        <f>IF(MODULO!$E$143&lt;&gt;"",$F$10,"")</f>
        <v/>
      </c>
      <c r="G54" s="96" t="str">
        <f>IF(MODULO!$E$143&lt;&gt;"",IF(C$49&gt;B54,IF(C$49&lt;=C54,(C$49-B54)*D54/100,(C54-B54)*D54/100),0),"")</f>
        <v/>
      </c>
      <c r="H54" s="96" t="str">
        <f>IF(MODULO!$E$143&lt;&gt;"",IF(C$49&gt;B54,IF(C$49&lt;=C54,(C$49-B54)*E54/100,(C54-B54)*E54/100),0),"")</f>
        <v/>
      </c>
      <c r="I54" s="97" t="str">
        <f>IF(MODULO!$E$143&lt;&gt;"",IF(G54&lt;&gt;0,G54+(H54-G54)*0.5,0),"")</f>
        <v/>
      </c>
    </row>
    <row r="55" spans="1:10" x14ac:dyDescent="0.25">
      <c r="B55" s="100" t="str">
        <f>IF(MODULO!$E$143&lt;&gt;"",$B$11,"")</f>
        <v/>
      </c>
      <c r="C55" s="100" t="str">
        <f>IF(MODULO!$E$143&lt;&gt;"",$C$11,"")</f>
        <v/>
      </c>
      <c r="D55" s="25" t="str">
        <f>IF(MODULO!$E$143&lt;&gt;"",$D$11,"")</f>
        <v/>
      </c>
      <c r="E55" s="25" t="str">
        <f>IF(MODULO!$E$143&lt;&gt;"",$E$11,"")</f>
        <v/>
      </c>
      <c r="F55" s="25" t="str">
        <f>IF(MODULO!$E$143&lt;&gt;"",$F$11,"")</f>
        <v/>
      </c>
      <c r="G55" s="96" t="str">
        <f>IF(MODULO!$E$143&lt;&gt;"",IF(C$49&gt;B55,IF(C$49&lt;=C55,(C$49-B55)*D55/100,(C55-B55)*D55/100),0),"")</f>
        <v/>
      </c>
      <c r="H55" s="96" t="str">
        <f>IF(MODULO!$E$143&lt;&gt;"",IF(C$49&gt;B55,IF(C$49&lt;=C55,(C$49-B55)*E55/100,(C55-B55)*E55/100),0),"")</f>
        <v/>
      </c>
      <c r="I55" s="97" t="str">
        <f>IF(MODULO!$E$143&lt;&gt;"",IF(G55&lt;&gt;0,G55+(H55-G55)*0.5,0),"")</f>
        <v/>
      </c>
    </row>
    <row r="56" spans="1:10" x14ac:dyDescent="0.25">
      <c r="B56" s="100" t="str">
        <f>IF(MODULO!$E$143&lt;&gt;"",$B$12,"")</f>
        <v/>
      </c>
      <c r="C56" s="100" t="str">
        <f>IF(MODULO!$E$143&lt;&gt;"",$C$12,"")</f>
        <v/>
      </c>
      <c r="D56" s="25" t="str">
        <f>IF(MODULO!$E$143&lt;&gt;"",$D$12,"")</f>
        <v/>
      </c>
      <c r="E56" s="25" t="str">
        <f>IF(MODULO!$E$143&lt;&gt;"",$E$12,"")</f>
        <v/>
      </c>
      <c r="F56" s="25" t="str">
        <f>IF(MODULO!$E$143&lt;&gt;"",$F$12,"")</f>
        <v/>
      </c>
      <c r="G56" s="96" t="str">
        <f>IF(MODULO!$E$143&lt;&gt;"",IF(C$49&gt;B56,IF(C$49&lt;=C56,(C$49-B56)*D56/100,(C56-B56)*D56/100),0),"")</f>
        <v/>
      </c>
      <c r="H56" s="96" t="str">
        <f>IF(MODULO!$E$143&lt;&gt;"",IF(C$49&gt;B56,IF(C$49&lt;=C56,(C$49-B56)*E56/100,(C56-B56)*E56/100),0),"")</f>
        <v/>
      </c>
      <c r="I56" s="97" t="str">
        <f>IF(MODULO!$E$143&lt;&gt;"",IF(G56&lt;&gt;0,G56+(H56-G56)*0.5,0),"")</f>
        <v/>
      </c>
    </row>
    <row r="57" spans="1:10" x14ac:dyDescent="0.25">
      <c r="B57" s="103" t="str">
        <f>IF(MODULO!$E$143&lt;&gt;"",$B$13,"")</f>
        <v/>
      </c>
      <c r="C57" s="103" t="str">
        <f>IF(MODULO!$E$143&lt;&gt;"",$C$13,"")</f>
        <v/>
      </c>
      <c r="D57" s="25" t="str">
        <f>IF(MODULO!$E$143&lt;&gt;"",$D$13,"")</f>
        <v/>
      </c>
      <c r="E57" s="25" t="str">
        <f>IF(MODULO!$E$143&lt;&gt;"",$E$13,"")</f>
        <v/>
      </c>
      <c r="F57" s="25" t="str">
        <f>IF(MODULO!$E$143&lt;&gt;"",$F$13,"")</f>
        <v/>
      </c>
      <c r="G57" s="96" t="str">
        <f>IF(MODULO!$E$143&lt;&gt;"",IF(C$49&gt;B57,IF(C$49&lt;=C57,(C$49-B57)*D57/100,(C57-B57)*D57/100),0),"")</f>
        <v/>
      </c>
      <c r="H57" s="96" t="str">
        <f>IF(MODULO!$E$143&lt;&gt;"",IF(C$49&gt;B57,IF(C$49&lt;=C57,(C$49-B57)*E57/100,(C57-B57)*E57/100),0),"")</f>
        <v/>
      </c>
      <c r="I57" s="97" t="str">
        <f>IF(MODULO!$E$143&lt;&gt;"",IF(G57&lt;&gt;0,G57+(H57-G57)*0.5,0),"")</f>
        <v/>
      </c>
    </row>
    <row r="58" spans="1:10" x14ac:dyDescent="0.25">
      <c r="B58" s="20"/>
      <c r="C58" s="20"/>
      <c r="D58" s="21"/>
      <c r="E58" s="21"/>
      <c r="F58" s="22" t="str">
        <f>IF(MODULO!$E$143&lt;&gt;"",$F$14,"")</f>
        <v/>
      </c>
      <c r="G58" s="104" t="str">
        <f>IF(MODULO!$E$143&lt;&gt;"",IF(SUM(G51:G57)&gt;145.12,SUM(G51:G57),145.12),"")</f>
        <v/>
      </c>
      <c r="H58" s="104" t="str">
        <f>IF(MODULO!$E$143&lt;&gt;"",IF(SUM(H51:H57)&gt;145.12,SUM(H51:H57),145.12),"")</f>
        <v/>
      </c>
      <c r="I58" s="104" t="str">
        <f>IF(MODULO!$E$143&lt;&gt;"",IF(SUM(I51:I57)&gt;145.12,SUM(I51:I57),145.12),"")</f>
        <v/>
      </c>
    </row>
    <row r="59" spans="1:10" x14ac:dyDescent="0.25">
      <c r="A59" s="15"/>
      <c r="B59" s="269" t="str">
        <f>IF(MODULO!$E$144&lt;&gt;"",CONCATENATE("Lotto n° ",MODULO!$E$144),"")</f>
        <v/>
      </c>
      <c r="C59" s="269"/>
      <c r="D59" s="269"/>
      <c r="E59" s="269"/>
      <c r="F59" s="269"/>
      <c r="G59" s="269"/>
      <c r="H59" s="269"/>
      <c r="I59" s="269"/>
      <c r="J59" s="15"/>
    </row>
    <row r="60" spans="1:10" x14ac:dyDescent="0.25">
      <c r="B60" s="16" t="str">
        <f>IF(MODULO!$E$144&lt;&gt;"",$B$5,"")</f>
        <v/>
      </c>
      <c r="C60" s="102" t="str">
        <f>IF(MODULO!$E$144&lt;&gt;"",MODULO!$F$144,"")</f>
        <v/>
      </c>
      <c r="D60" s="270" t="str">
        <f>IF(MODULO!$E$144&lt;&gt;"",$D$5,"")</f>
        <v/>
      </c>
      <c r="E60" s="270"/>
      <c r="F60" s="270"/>
      <c r="G60" s="270" t="str">
        <f>IF(MODULO!$E$144&lt;&gt;"",$G$5,"")</f>
        <v/>
      </c>
      <c r="H60" s="270"/>
      <c r="I60" s="270"/>
    </row>
    <row r="61" spans="1:10" x14ac:dyDescent="0.25">
      <c r="B61" s="17" t="str">
        <f>IF(MODULO!$E$144&lt;&gt;"",$B$6,"")</f>
        <v/>
      </c>
      <c r="C61" s="17" t="str">
        <f>IF(MODULO!$E$144&lt;&gt;"",$C$6,"")</f>
        <v/>
      </c>
      <c r="D61" s="18" t="str">
        <f>IF(MODULO!$E$144&lt;&gt;"",$D$6,"")</f>
        <v/>
      </c>
      <c r="E61" s="18" t="str">
        <f>IF(MODULO!$E$144&lt;&gt;"",$E$6,"")</f>
        <v/>
      </c>
      <c r="F61" s="18" t="str">
        <f>IF(MODULO!$E$144&lt;&gt;"",$F$6,"")</f>
        <v/>
      </c>
      <c r="G61" s="18" t="str">
        <f>IF(MODULO!$E$144&lt;&gt;"",$G$6,"")</f>
        <v/>
      </c>
      <c r="H61" s="18" t="str">
        <f>IF(MODULO!$E$144&lt;&gt;"",$H$6,"")</f>
        <v/>
      </c>
      <c r="I61" s="19" t="str">
        <f>IF(MODULO!$E$144&lt;&gt;"",$I$6,"")</f>
        <v/>
      </c>
    </row>
    <row r="62" spans="1:10" x14ac:dyDescent="0.25">
      <c r="B62" s="100" t="str">
        <f>IF(MODULO!$E$144&lt;&gt;"",$B$7,"")</f>
        <v/>
      </c>
      <c r="C62" s="100" t="str">
        <f>IF(MODULO!$E$144&lt;&gt;"",$C$7,"")</f>
        <v/>
      </c>
      <c r="D62" s="25" t="str">
        <f>IF(MODULO!$E$144&lt;&gt;"",$D$7,"")</f>
        <v/>
      </c>
      <c r="E62" s="25" t="str">
        <f>IF(MODULO!$E$144&lt;&gt;"",$E$7,"")</f>
        <v/>
      </c>
      <c r="F62" s="25" t="str">
        <f>IF(MODULO!$E$144&lt;&gt;"",$F$7,"")</f>
        <v/>
      </c>
      <c r="G62" s="96" t="str">
        <f>IF(MODULO!$E$144&lt;&gt;"",IF(C$60&gt;B62,IF(C$60&lt;=C62,(C$60-B62)*D62/100,(C62-B62)*D62/100),0),"")</f>
        <v/>
      </c>
      <c r="H62" s="96" t="str">
        <f>IF(MODULO!$E$144&lt;&gt;"",IF(C$60&gt;B62,IF(C$60&lt;=C62,(C$60-B62)*E62/100,(C62-B62)*E62/100),0),"")</f>
        <v/>
      </c>
      <c r="I62" s="97" t="str">
        <f>IF(MODULO!$E$144&lt;&gt;"",IF(G62&lt;&gt;0,G62+(H62-G62)*0.5,0),"")</f>
        <v/>
      </c>
    </row>
    <row r="63" spans="1:10" x14ac:dyDescent="0.25">
      <c r="B63" s="100" t="str">
        <f>IF(MODULO!$E$144&lt;&gt;"",$B$8,"")</f>
        <v/>
      </c>
      <c r="C63" s="100" t="str">
        <f>IF(MODULO!$E$144&lt;&gt;"",$C$8,"")</f>
        <v/>
      </c>
      <c r="D63" s="25" t="str">
        <f>IF(MODULO!$E$144&lt;&gt;"",$D$8,"")</f>
        <v/>
      </c>
      <c r="E63" s="25" t="str">
        <f>IF(MODULO!$E$144&lt;&gt;"",$E$8,"")</f>
        <v/>
      </c>
      <c r="F63" s="25" t="str">
        <f>IF(MODULO!$E$144&lt;&gt;"",$F$8,"")</f>
        <v/>
      </c>
      <c r="G63" s="96" t="str">
        <f>IF(MODULO!$E$144&lt;&gt;"",IF(C$60&gt;B63,IF(C$60&lt;=C63,(C$60-B63)*D63/100,(C63-B63)*D63/100),0),"")</f>
        <v/>
      </c>
      <c r="H63" s="96" t="str">
        <f>IF(MODULO!$E$144&lt;&gt;"",IF(C$60&gt;B63,IF(C$60&lt;=C63,(C$60-B63)*E63/100,(C63-B63)*E63/100),0),"")</f>
        <v/>
      </c>
      <c r="I63" s="97" t="str">
        <f>IF(MODULO!$E$144&lt;&gt;"",IF(G63&lt;&gt;0,G63+(H63-G63)*0.5,0),"")</f>
        <v/>
      </c>
    </row>
    <row r="64" spans="1:10" x14ac:dyDescent="0.25">
      <c r="B64" s="100" t="str">
        <f>IF(MODULO!$E$144&lt;&gt;"",$B$9,"")</f>
        <v/>
      </c>
      <c r="C64" s="100" t="str">
        <f>IF(MODULO!$E$144&lt;&gt;"",$C$9,"")</f>
        <v/>
      </c>
      <c r="D64" s="25" t="str">
        <f>IF(MODULO!$E$144&lt;&gt;"",$D$9,"")</f>
        <v/>
      </c>
      <c r="E64" s="25" t="str">
        <f>IF(MODULO!$E$144&lt;&gt;"",$E$9,"")</f>
        <v/>
      </c>
      <c r="F64" s="25" t="str">
        <f>IF(MODULO!$E$144&lt;&gt;"",$F$9,"")</f>
        <v/>
      </c>
      <c r="G64" s="96" t="str">
        <f>IF(MODULO!$E$144&lt;&gt;"",IF(C$60&gt;B64,IF(C$60&lt;=C64,(C$60-B64)*D64/100,(C64-B64)*D64/100),0),"")</f>
        <v/>
      </c>
      <c r="H64" s="96" t="str">
        <f>IF(MODULO!$E$144&lt;&gt;"",IF(C$60&gt;B64,IF(C$60&lt;=C64,(C$60-B64)*E64/100,(C64-B64)*E64/100),0),"")</f>
        <v/>
      </c>
      <c r="I64" s="97" t="str">
        <f>IF(MODULO!$E$144&lt;&gt;"",IF(G64&lt;&gt;0,G64+(H64-G64)*0.5,0),"")</f>
        <v/>
      </c>
    </row>
    <row r="65" spans="1:10" x14ac:dyDescent="0.25">
      <c r="B65" s="100" t="str">
        <f>IF(MODULO!$E$144&lt;&gt;"",$B$10,"")</f>
        <v/>
      </c>
      <c r="C65" s="100" t="str">
        <f>IF(MODULO!$E$144&lt;&gt;"",$C$10,"")</f>
        <v/>
      </c>
      <c r="D65" s="25" t="str">
        <f>IF(MODULO!$E$144&lt;&gt;"",$D$10,"")</f>
        <v/>
      </c>
      <c r="E65" s="25" t="str">
        <f>IF(MODULO!$E$144&lt;&gt;"",$E$10,"")</f>
        <v/>
      </c>
      <c r="F65" s="25" t="str">
        <f>IF(MODULO!$E$144&lt;&gt;"",$F$10,"")</f>
        <v/>
      </c>
      <c r="G65" s="96" t="str">
        <f>IF(MODULO!$E$144&lt;&gt;"",IF(C$60&gt;B65,IF(C$60&lt;=C65,(C$60-B65)*D65/100,(C65-B65)*D65/100),0),"")</f>
        <v/>
      </c>
      <c r="H65" s="96" t="str">
        <f>IF(MODULO!$E$144&lt;&gt;"",IF(C$60&gt;B65,IF(C$60&lt;=C65,(C$60-B65)*E65/100,(C65-B65)*E65/100),0),"")</f>
        <v/>
      </c>
      <c r="I65" s="97" t="str">
        <f>IF(MODULO!$E$144&lt;&gt;"",IF(G65&lt;&gt;0,G65+(H65-G65)*0.5,0),"")</f>
        <v/>
      </c>
    </row>
    <row r="66" spans="1:10" x14ac:dyDescent="0.25">
      <c r="B66" s="100" t="str">
        <f>IF(MODULO!$E$144&lt;&gt;"",$B$11,"")</f>
        <v/>
      </c>
      <c r="C66" s="100" t="str">
        <f>IF(MODULO!$E$144&lt;&gt;"",$C$11,"")</f>
        <v/>
      </c>
      <c r="D66" s="25" t="str">
        <f>IF(MODULO!$E$144&lt;&gt;"",$D$11,"")</f>
        <v/>
      </c>
      <c r="E66" s="25" t="str">
        <f>IF(MODULO!$E$144&lt;&gt;"",$E$11,"")</f>
        <v/>
      </c>
      <c r="F66" s="25" t="str">
        <f>IF(MODULO!$E$144&lt;&gt;"",$F$11,"")</f>
        <v/>
      </c>
      <c r="G66" s="96" t="str">
        <f>IF(MODULO!$E$144&lt;&gt;"",IF(C$60&gt;B66,IF(C$60&lt;=C66,(C$60-B66)*D66/100,(C66-B66)*D66/100),0),"")</f>
        <v/>
      </c>
      <c r="H66" s="96" t="str">
        <f>IF(MODULO!$E$144&lt;&gt;"",IF(C$60&gt;B66,IF(C$60&lt;=C66,(C$60-B66)*E66/100,(C66-B66)*E66/100),0),"")</f>
        <v/>
      </c>
      <c r="I66" s="97" t="str">
        <f>IF(MODULO!$E$144&lt;&gt;"",IF(G66&lt;&gt;0,G66+(H66-G66)*0.5,0),"")</f>
        <v/>
      </c>
    </row>
    <row r="67" spans="1:10" x14ac:dyDescent="0.25">
      <c r="B67" s="100" t="str">
        <f>IF(MODULO!$E$144&lt;&gt;"",$B$12,"")</f>
        <v/>
      </c>
      <c r="C67" s="100" t="str">
        <f>IF(MODULO!$E$144&lt;&gt;"",$C$12,"")</f>
        <v/>
      </c>
      <c r="D67" s="25" t="str">
        <f>IF(MODULO!$E$144&lt;&gt;"",$D$12,"")</f>
        <v/>
      </c>
      <c r="E67" s="25" t="str">
        <f>IF(MODULO!$E$144&lt;&gt;"",$E$12,"")</f>
        <v/>
      </c>
      <c r="F67" s="25" t="str">
        <f>IF(MODULO!$E$144&lt;&gt;"",$F$12,"")</f>
        <v/>
      </c>
      <c r="G67" s="96" t="str">
        <f>IF(MODULO!$E$144&lt;&gt;"",IF(C$60&gt;B67,IF(C$60&lt;=C67,(C$60-B67)*D67/100,(C67-B67)*D67/100),0),"")</f>
        <v/>
      </c>
      <c r="H67" s="96" t="str">
        <f>IF(MODULO!$E$144&lt;&gt;"",IF(C$60&gt;B67,IF(C$60&lt;=C67,(C$60-B67)*E67/100,(C67-B67)*E67/100),0),"")</f>
        <v/>
      </c>
      <c r="I67" s="97" t="str">
        <f>IF(MODULO!$E$144&lt;&gt;"",IF(G67&lt;&gt;0,G67+(H67-G67)*0.5,0),"")</f>
        <v/>
      </c>
    </row>
    <row r="68" spans="1:10" x14ac:dyDescent="0.25">
      <c r="B68" s="100" t="str">
        <f>IF(MODULO!$E$144&lt;&gt;"",$B$13,"")</f>
        <v/>
      </c>
      <c r="C68" s="100" t="str">
        <f>IF(MODULO!$E$144&lt;&gt;"",$C$13,"")</f>
        <v/>
      </c>
      <c r="D68" s="25" t="str">
        <f>IF(MODULO!$E$144&lt;&gt;"",$D$13,"")</f>
        <v/>
      </c>
      <c r="E68" s="25" t="str">
        <f>IF(MODULO!$E$144&lt;&gt;"",$E$13,"")</f>
        <v/>
      </c>
      <c r="F68" s="25" t="str">
        <f>IF(MODULO!$E$144&lt;&gt;"",$F$13,"")</f>
        <v/>
      </c>
      <c r="G68" s="96" t="str">
        <f>IF(MODULO!$E$144&lt;&gt;"",IF(C$60&gt;B68,IF(C$60&lt;=C68,(C$60-B68)*D68/100,(C68-B68)*D68/100),0),"")</f>
        <v/>
      </c>
      <c r="H68" s="96" t="str">
        <f>IF(MODULO!$E$144&lt;&gt;"",IF(C$60&gt;B68,IF(C$60&lt;=C68,(C$60-B68)*E68/100,(C68-B68)*E68/100),0),"")</f>
        <v/>
      </c>
      <c r="I68" s="97" t="str">
        <f>IF(MODULO!$E$144&lt;&gt;"",IF(G68&lt;&gt;0,G68+(H68-G68)*0.5,0),"")</f>
        <v/>
      </c>
    </row>
    <row r="69" spans="1:10" x14ac:dyDescent="0.25">
      <c r="B69" s="20"/>
      <c r="C69" s="20"/>
      <c r="D69" s="21"/>
      <c r="E69" s="21"/>
      <c r="F69" s="22" t="str">
        <f>IF(MODULO!$E$144&lt;&gt;"",$F$14,"")</f>
        <v/>
      </c>
      <c r="G69" s="98" t="str">
        <f>IF(MODULO!$E$144&lt;&gt;"",IF(SUM(G62:G68)&gt;145.12,SUM(G62:G68),145.12),"")</f>
        <v/>
      </c>
      <c r="H69" s="98" t="str">
        <f>IF(MODULO!$E$144&lt;&gt;"",IF(SUM(H62:H68)&gt;145.12,SUM(H62:H68),145.12),"")</f>
        <v/>
      </c>
      <c r="I69" s="98" t="str">
        <f>IF(MODULO!$E$144&lt;&gt;"",IF(SUM(I62:I68)&gt;145.12,SUM(I62:I68),145.12),"")</f>
        <v/>
      </c>
    </row>
    <row r="70" spans="1:10" x14ac:dyDescent="0.25">
      <c r="A70" s="15"/>
      <c r="B70" s="269" t="str">
        <f>IF(MODULO!$E$145&lt;&gt;"",CONCATENATE("Lotto n° ",MODULO!$E$145),"")</f>
        <v/>
      </c>
      <c r="C70" s="269"/>
      <c r="D70" s="269"/>
      <c r="E70" s="269"/>
      <c r="F70" s="269"/>
      <c r="G70" s="269"/>
      <c r="H70" s="269"/>
      <c r="I70" s="269"/>
      <c r="J70" s="15"/>
    </row>
    <row r="71" spans="1:10" x14ac:dyDescent="0.25">
      <c r="B71" s="16" t="str">
        <f>IF(MODULO!$E$145&lt;&gt;"",$B$5,"")</f>
        <v/>
      </c>
      <c r="C71" s="102" t="str">
        <f>IF(MODULO!$E$145&lt;&gt;"",MODULO!$F$145,"")</f>
        <v/>
      </c>
      <c r="D71" s="270" t="str">
        <f>IF(MODULO!$E$145&lt;&gt;"",$D$5,"")</f>
        <v/>
      </c>
      <c r="E71" s="270"/>
      <c r="F71" s="270"/>
      <c r="G71" s="270" t="str">
        <f>IF(MODULO!$E$145&lt;&gt;"",$G$5,"")</f>
        <v/>
      </c>
      <c r="H71" s="270"/>
      <c r="I71" s="270"/>
    </row>
    <row r="72" spans="1:10" x14ac:dyDescent="0.25">
      <c r="B72" s="17" t="str">
        <f>IF(MODULO!$E$145&lt;&gt;"",$B$6,"")</f>
        <v/>
      </c>
      <c r="C72" s="17" t="str">
        <f>IF(MODULO!$E$145&lt;&gt;"",$C$6,"")</f>
        <v/>
      </c>
      <c r="D72" s="18" t="str">
        <f>IF(MODULO!$E$145&lt;&gt;"",$D$6,"")</f>
        <v/>
      </c>
      <c r="E72" s="18" t="str">
        <f>IF(MODULO!$E$145&lt;&gt;"",$E$6,"")</f>
        <v/>
      </c>
      <c r="F72" s="18" t="str">
        <f>IF(MODULO!$E$145&lt;&gt;"",$F$6,"")</f>
        <v/>
      </c>
      <c r="G72" s="18" t="str">
        <f>IF(MODULO!$E$145&lt;&gt;"",$G$6,"")</f>
        <v/>
      </c>
      <c r="H72" s="18" t="str">
        <f>IF(MODULO!$E$145&lt;&gt;"",$H$6,"")</f>
        <v/>
      </c>
      <c r="I72" s="19" t="str">
        <f>IF(MODULO!$E$145&lt;&gt;"",$I$6,"")</f>
        <v/>
      </c>
    </row>
    <row r="73" spans="1:10" x14ac:dyDescent="0.25">
      <c r="B73" s="100" t="str">
        <f>IF(MODULO!$E$145&lt;&gt;"",$B$7,"")</f>
        <v/>
      </c>
      <c r="C73" s="100" t="str">
        <f>IF(MODULO!$E$145&lt;&gt;"",$C$7,"")</f>
        <v/>
      </c>
      <c r="D73" s="25" t="str">
        <f>IF(MODULO!$E$145&lt;&gt;"",$D$7,"")</f>
        <v/>
      </c>
      <c r="E73" s="25" t="str">
        <f>IF(MODULO!$E$145&lt;&gt;"",$E$7,"")</f>
        <v/>
      </c>
      <c r="F73" s="25" t="str">
        <f>IF(MODULO!$E$145&lt;&gt;"",$F$7,"")</f>
        <v/>
      </c>
      <c r="G73" s="96" t="str">
        <f>IF(MODULO!$E$145&lt;&gt;"",IF(C$71&gt;B73,IF(C$71&lt;=C73,(C$71-B73)*D73/100,(C73-B73)*D73/100),0),"")</f>
        <v/>
      </c>
      <c r="H73" s="96" t="str">
        <f>IF(MODULO!$E$145&lt;&gt;"",IF(C$71&gt;B73,IF(C$71&lt;=C73,(C$71-B73)*E73/100,(C73-B73)*E73/100),0),"")</f>
        <v/>
      </c>
      <c r="I73" s="97" t="str">
        <f>IF(MODULO!$E$145&lt;&gt;"",IF(G73&lt;&gt;0,G73+(H73-G73)*0.5,0),"")</f>
        <v/>
      </c>
    </row>
    <row r="74" spans="1:10" x14ac:dyDescent="0.25">
      <c r="B74" s="100" t="str">
        <f>IF(MODULO!$E$145&lt;&gt;"",$B$8,"")</f>
        <v/>
      </c>
      <c r="C74" s="100" t="str">
        <f>IF(MODULO!$E$145&lt;&gt;"",$C$8,"")</f>
        <v/>
      </c>
      <c r="D74" s="25" t="str">
        <f>IF(MODULO!$E$145&lt;&gt;"",$D$8,"")</f>
        <v/>
      </c>
      <c r="E74" s="25" t="str">
        <f>IF(MODULO!$E$145&lt;&gt;"",$E$8,"")</f>
        <v/>
      </c>
      <c r="F74" s="25" t="str">
        <f>IF(MODULO!$E$145&lt;&gt;"",$F$8,"")</f>
        <v/>
      </c>
      <c r="G74" s="96" t="str">
        <f>IF(MODULO!$E$145&lt;&gt;"",IF(C$71&gt;B74,IF(C$71&lt;=C74,(C$71-B74)*D74/100,(C74-B74)*D74/100),0),"")</f>
        <v/>
      </c>
      <c r="H74" s="96" t="str">
        <f>IF(MODULO!$E$145&lt;&gt;"",IF(C$71&gt;B74,IF(C$71&lt;=C74,(C$71-B74)*E74/100,(C74-B74)*E74/100),0),"")</f>
        <v/>
      </c>
      <c r="I74" s="97" t="str">
        <f>IF(MODULO!$E$145&lt;&gt;"",IF(G74&lt;&gt;0,G74+(H74-G74)*0.5,0),"")</f>
        <v/>
      </c>
    </row>
    <row r="75" spans="1:10" x14ac:dyDescent="0.25">
      <c r="B75" s="100" t="str">
        <f>IF(MODULO!$E$145&lt;&gt;"",$B$9,"")</f>
        <v/>
      </c>
      <c r="C75" s="100" t="str">
        <f>IF(MODULO!$E$145&lt;&gt;"",$C$9,"")</f>
        <v/>
      </c>
      <c r="D75" s="25" t="str">
        <f>IF(MODULO!$E$145&lt;&gt;"",$D$9,"")</f>
        <v/>
      </c>
      <c r="E75" s="25" t="str">
        <f>IF(MODULO!$E$145&lt;&gt;"",$E$9,"")</f>
        <v/>
      </c>
      <c r="F75" s="25" t="str">
        <f>IF(MODULO!$E$145&lt;&gt;"",$F$9,"")</f>
        <v/>
      </c>
      <c r="G75" s="96" t="str">
        <f>IF(MODULO!$E$145&lt;&gt;"",IF(C$71&gt;B75,IF(C$71&lt;=C75,(C$71-B75)*D75/100,(C75-B75)*D75/100),0),"")</f>
        <v/>
      </c>
      <c r="H75" s="96" t="str">
        <f>IF(MODULO!$E$145&lt;&gt;"",IF(C$71&gt;B75,IF(C$71&lt;=C75,(C$71-B75)*E75/100,(C75-B75)*E75/100),0),"")</f>
        <v/>
      </c>
      <c r="I75" s="97" t="str">
        <f>IF(MODULO!$E$145&lt;&gt;"",IF(G75&lt;&gt;0,G75+(H75-G75)*0.5,0),"")</f>
        <v/>
      </c>
    </row>
    <row r="76" spans="1:10" x14ac:dyDescent="0.25">
      <c r="B76" s="100" t="str">
        <f>IF(MODULO!$E$145&lt;&gt;"",$B$10,"")</f>
        <v/>
      </c>
      <c r="C76" s="100" t="str">
        <f>IF(MODULO!$E$145&lt;&gt;"",$C$10,"")</f>
        <v/>
      </c>
      <c r="D76" s="25" t="str">
        <f>IF(MODULO!$E$145&lt;&gt;"",$D$10,"")</f>
        <v/>
      </c>
      <c r="E76" s="25" t="str">
        <f>IF(MODULO!$E$145&lt;&gt;"",$E$10,"")</f>
        <v/>
      </c>
      <c r="F76" s="25" t="str">
        <f>IF(MODULO!$E$145&lt;&gt;"",$F$10,"")</f>
        <v/>
      </c>
      <c r="G76" s="96" t="str">
        <f>IF(MODULO!$E$145&lt;&gt;"",IF(C$71&gt;B76,IF(C$71&lt;=C76,(C$71-B76)*D76/100,(C76-B76)*D76/100),0),"")</f>
        <v/>
      </c>
      <c r="H76" s="96" t="str">
        <f>IF(MODULO!$E$145&lt;&gt;"",IF(C$71&gt;B76,IF(C$71&lt;=C76,(C$71-B76)*E76/100,(C76-B76)*E76/100),0),"")</f>
        <v/>
      </c>
      <c r="I76" s="97" t="str">
        <f>IF(MODULO!$E$145&lt;&gt;"",IF(G76&lt;&gt;0,G76+(H76-G76)*0.5,0),"")</f>
        <v/>
      </c>
    </row>
    <row r="77" spans="1:10" x14ac:dyDescent="0.25">
      <c r="B77" s="100" t="str">
        <f>IF(MODULO!$E$145&lt;&gt;"",$B$11,"")</f>
        <v/>
      </c>
      <c r="C77" s="100" t="str">
        <f>IF(MODULO!$E$145&lt;&gt;"",$C$11,"")</f>
        <v/>
      </c>
      <c r="D77" s="25" t="str">
        <f>IF(MODULO!$E$145&lt;&gt;"",$D$11,"")</f>
        <v/>
      </c>
      <c r="E77" s="25" t="str">
        <f>IF(MODULO!$E$145&lt;&gt;"",$E$11,"")</f>
        <v/>
      </c>
      <c r="F77" s="25" t="str">
        <f>IF(MODULO!$E$145&lt;&gt;"",$F$11,"")</f>
        <v/>
      </c>
      <c r="G77" s="96" t="str">
        <f>IF(MODULO!$E$145&lt;&gt;"",IF(C$71&gt;B77,IF(C$71&lt;=C77,(C$71-B77)*D77/100,(C77-B77)*D77/100),0),"")</f>
        <v/>
      </c>
      <c r="H77" s="96" t="str">
        <f>IF(MODULO!$E$145&lt;&gt;"",IF(C$71&gt;B77,IF(C$71&lt;=C77,(C$71-B77)*E77/100,(C77-B77)*E77/100),0),"")</f>
        <v/>
      </c>
      <c r="I77" s="97" t="str">
        <f>IF(MODULO!$E$145&lt;&gt;"",IF(G77&lt;&gt;0,G77+(H77-G77)*0.5,0),"")</f>
        <v/>
      </c>
    </row>
    <row r="78" spans="1:10" x14ac:dyDescent="0.25">
      <c r="B78" s="100" t="str">
        <f>IF(MODULO!$E$145&lt;&gt;"",$B$12,"")</f>
        <v/>
      </c>
      <c r="C78" s="100" t="str">
        <f>IF(MODULO!$E$145&lt;&gt;"",$C$12,"")</f>
        <v/>
      </c>
      <c r="D78" s="25" t="str">
        <f>IF(MODULO!$E$145&lt;&gt;"",$D$12,"")</f>
        <v/>
      </c>
      <c r="E78" s="25" t="str">
        <f>IF(MODULO!$E$145&lt;&gt;"",$E$12,"")</f>
        <v/>
      </c>
      <c r="F78" s="25" t="str">
        <f>IF(MODULO!$E$145&lt;&gt;"",$F$12,"")</f>
        <v/>
      </c>
      <c r="G78" s="96" t="str">
        <f>IF(MODULO!$E$145&lt;&gt;"",IF(C$71&gt;B78,IF(C$71&lt;=C78,(C$71-B78)*D78/100,(C78-B78)*D78/100),0),"")</f>
        <v/>
      </c>
      <c r="H78" s="96" t="str">
        <f>IF(MODULO!$E$145&lt;&gt;"",IF(C$71&gt;B78,IF(C$71&lt;=C78,(C$71-B78)*E78/100,(C78-B78)*E78/100),0),"")</f>
        <v/>
      </c>
      <c r="I78" s="97" t="str">
        <f>IF(MODULO!$E$145&lt;&gt;"",IF(G78&lt;&gt;0,G78+(H78-G78)*0.5,0),"")</f>
        <v/>
      </c>
    </row>
    <row r="79" spans="1:10" x14ac:dyDescent="0.25">
      <c r="B79" s="100" t="str">
        <f>IF(MODULO!$E$145&lt;&gt;"",$B$13,"")</f>
        <v/>
      </c>
      <c r="C79" s="100" t="str">
        <f>IF(MODULO!$E$145&lt;&gt;"",$C$13,"")</f>
        <v/>
      </c>
      <c r="D79" s="25" t="str">
        <f>IF(MODULO!$E$145&lt;&gt;"",$D$13,"")</f>
        <v/>
      </c>
      <c r="E79" s="25" t="str">
        <f>IF(MODULO!$E$145&lt;&gt;"",$E$13,"")</f>
        <v/>
      </c>
      <c r="F79" s="25" t="str">
        <f>IF(MODULO!$E$145&lt;&gt;"",$F$13,"")</f>
        <v/>
      </c>
      <c r="G79" s="96" t="str">
        <f>IF(MODULO!$E$145&lt;&gt;"",IF(C$71&gt;B79,IF(C$71&lt;=C79,(C$71-B79)*D79/100,(C79-B79)*D79/100),0),"")</f>
        <v/>
      </c>
      <c r="H79" s="96" t="str">
        <f>IF(MODULO!$E$145&lt;&gt;"",IF(C$71&gt;B79,IF(C$71&lt;=C79,(C$71-B79)*E79/100,(C79-B79)*E79/100),0),"")</f>
        <v/>
      </c>
      <c r="I79" s="97" t="str">
        <f>IF(MODULO!$E$145&lt;&gt;"",IF(G79&lt;&gt;0,G79+(H79-G79)*0.5,0),"")</f>
        <v/>
      </c>
    </row>
    <row r="80" spans="1:10" x14ac:dyDescent="0.25">
      <c r="B80" s="20"/>
      <c r="C80" s="20"/>
      <c r="D80" s="21"/>
      <c r="E80" s="21"/>
      <c r="F80" s="22" t="str">
        <f>IF(MODULO!$E$145&lt;&gt;"",$F$14,"")</f>
        <v/>
      </c>
      <c r="G80" s="98" t="str">
        <f>IF(MODULO!$E$145&lt;&gt;"",IF(SUM(G73:G79)&gt;145.12,SUM(G73:G79),145.12),"")</f>
        <v/>
      </c>
      <c r="H80" s="98" t="str">
        <f>IF(MODULO!$E$145&lt;&gt;"",IF(SUM(H73:H79)&gt;145.12,SUM(H73:H79),145.12),"")</f>
        <v/>
      </c>
      <c r="I80" s="98" t="str">
        <f>IF(MODULO!$E$145&lt;&gt;"",IF(SUM(I73:I79)&gt;145.12,SUM(I73:I79),145.12),"")</f>
        <v/>
      </c>
    </row>
    <row r="81" spans="1:10" x14ac:dyDescent="0.25">
      <c r="A81" s="15"/>
      <c r="B81" s="269" t="str">
        <f>IF(MODULO!$E$146&lt;&gt;"",CONCATENATE("Lotto n° ",MODULO!$E$146),"")</f>
        <v/>
      </c>
      <c r="C81" s="269"/>
      <c r="D81" s="269"/>
      <c r="E81" s="269"/>
      <c r="F81" s="269"/>
      <c r="G81" s="269"/>
      <c r="H81" s="269"/>
      <c r="I81" s="269"/>
      <c r="J81" s="15"/>
    </row>
    <row r="82" spans="1:10" x14ac:dyDescent="0.25">
      <c r="B82" s="16" t="str">
        <f>IF(MODULO!$E$146&lt;&gt;"",$B$5,"")</f>
        <v/>
      </c>
      <c r="C82" s="105" t="str">
        <f>IF(MODULO!$E$146&lt;&gt;"",MODULO!$F$146,"")</f>
        <v/>
      </c>
      <c r="D82" s="270" t="str">
        <f>IF(MODULO!$E$146&lt;&gt;"",$D$5,"")</f>
        <v/>
      </c>
      <c r="E82" s="270"/>
      <c r="F82" s="270"/>
      <c r="G82" s="270" t="str">
        <f>IF(MODULO!$E$146&lt;&gt;"",$G$5,"")</f>
        <v/>
      </c>
      <c r="H82" s="270"/>
      <c r="I82" s="270"/>
    </row>
    <row r="83" spans="1:10" x14ac:dyDescent="0.25">
      <c r="B83" s="17" t="str">
        <f>IF(MODULO!$E$146&lt;&gt;"",$B$6,"")</f>
        <v/>
      </c>
      <c r="C83" s="17" t="str">
        <f>IF(MODULO!$E$146&lt;&gt;"",$C$6,"")</f>
        <v/>
      </c>
      <c r="D83" s="18" t="str">
        <f>IF(MODULO!$E$146&lt;&gt;"",$D$6,"")</f>
        <v/>
      </c>
      <c r="E83" s="18" t="str">
        <f>IF(MODULO!$E$146&lt;&gt;"",$E$6,"")</f>
        <v/>
      </c>
      <c r="F83" s="18" t="str">
        <f>IF(MODULO!$E$146&lt;&gt;"",$F$6,"")</f>
        <v/>
      </c>
      <c r="G83" s="18" t="str">
        <f>IF(MODULO!$E$146&lt;&gt;"",$G$6,"")</f>
        <v/>
      </c>
      <c r="H83" s="18" t="str">
        <f>IF(MODULO!$E$146&lt;&gt;"",$H$6,"")</f>
        <v/>
      </c>
      <c r="I83" s="19" t="str">
        <f>IF(MODULO!$E$146&lt;&gt;"",$I$6,"")</f>
        <v/>
      </c>
    </row>
    <row r="84" spans="1:10" x14ac:dyDescent="0.25">
      <c r="B84" s="100" t="str">
        <f>IF(MODULO!$E$146&lt;&gt;"",$B$7,"")</f>
        <v/>
      </c>
      <c r="C84" s="100" t="str">
        <f>IF(MODULO!$E$146&lt;&gt;"",$C$7,"")</f>
        <v/>
      </c>
      <c r="D84" s="25" t="str">
        <f>IF(MODULO!$E$146&lt;&gt;"",$D$7,"")</f>
        <v/>
      </c>
      <c r="E84" s="25" t="str">
        <f>IF(MODULO!$E$146&lt;&gt;"",$E$7,"")</f>
        <v/>
      </c>
      <c r="F84" s="25" t="str">
        <f>IF(MODULO!$E$146&lt;&gt;"",$F$7,"")</f>
        <v/>
      </c>
      <c r="G84" s="96" t="str">
        <f>IF(MODULO!$E$146&lt;&gt;"",IF(C$82&gt;B84,IF(C$82&lt;=C84,(C$82-B84)*D84/100,(C84-B84)*D84/100),0),"")</f>
        <v/>
      </c>
      <c r="H84" s="96" t="str">
        <f>IF(MODULO!$E$146&lt;&gt;"",IF(C$82&gt;B84,IF(C$82&lt;=C84,(C$82-B84)*E84/100,(C84-B84)*E84/100),0),"")</f>
        <v/>
      </c>
      <c r="I84" s="97" t="str">
        <f>IF(MODULO!$E$146&lt;&gt;"",IF(G84&lt;&gt;0,G84+(H84-G84)*0.5,0),"")</f>
        <v/>
      </c>
    </row>
    <row r="85" spans="1:10" x14ac:dyDescent="0.25">
      <c r="B85" s="100" t="str">
        <f>IF(MODULO!$E$146&lt;&gt;"",$B$8,"")</f>
        <v/>
      </c>
      <c r="C85" s="100" t="str">
        <f>IF(MODULO!$E$146&lt;&gt;"",$C$8,"")</f>
        <v/>
      </c>
      <c r="D85" s="25" t="str">
        <f>IF(MODULO!$E$146&lt;&gt;"",$D$8,"")</f>
        <v/>
      </c>
      <c r="E85" s="25" t="str">
        <f>IF(MODULO!$E$146&lt;&gt;"",$E$8,"")</f>
        <v/>
      </c>
      <c r="F85" s="25" t="str">
        <f>IF(MODULO!$E$146&lt;&gt;"",$F$8,"")</f>
        <v/>
      </c>
      <c r="G85" s="96" t="str">
        <f>IF(MODULO!$E$146&lt;&gt;"",IF(C$82&gt;B85,IF(C$82&lt;=C85,(C$82-B85)*D85/100,(C85-B85)*D85/100),0),"")</f>
        <v/>
      </c>
      <c r="H85" s="96" t="str">
        <f>IF(MODULO!$E$146&lt;&gt;"",IF(C$82&gt;B85,IF(C$82&lt;=C85,(C$82-B85)*E85/100,(C85-B85)*E85/100),0),"")</f>
        <v/>
      </c>
      <c r="I85" s="97" t="str">
        <f>IF(MODULO!$E$146&lt;&gt;"",IF(G85&lt;&gt;0,G85+(H85-G85)*0.5,0),"")</f>
        <v/>
      </c>
    </row>
    <row r="86" spans="1:10" x14ac:dyDescent="0.25">
      <c r="B86" s="100" t="str">
        <f>IF(MODULO!$E$146&lt;&gt;"",$B$9,"")</f>
        <v/>
      </c>
      <c r="C86" s="100" t="str">
        <f>IF(MODULO!$E$146&lt;&gt;"",$C$9,"")</f>
        <v/>
      </c>
      <c r="D86" s="25" t="str">
        <f>IF(MODULO!$E$146&lt;&gt;"",$D$9,"")</f>
        <v/>
      </c>
      <c r="E86" s="25" t="str">
        <f>IF(MODULO!$E$146&lt;&gt;"",$E$9,"")</f>
        <v/>
      </c>
      <c r="F86" s="25" t="str">
        <f>IF(MODULO!$E$146&lt;&gt;"",$F$9,"")</f>
        <v/>
      </c>
      <c r="G86" s="96" t="str">
        <f>IF(MODULO!$E$146&lt;&gt;"",IF(C$82&gt;B86,IF(C$82&lt;=C86,(C$82-B86)*D86/100,(C86-B86)*D86/100),0),"")</f>
        <v/>
      </c>
      <c r="H86" s="96" t="str">
        <f>IF(MODULO!$E$146&lt;&gt;"",IF(C$82&gt;B86,IF(C$82&lt;=C86,(C$82-B86)*E86/100,(C86-B86)*E86/100),0),"")</f>
        <v/>
      </c>
      <c r="I86" s="97" t="str">
        <f>IF(MODULO!$E$146&lt;&gt;"",IF(G86&lt;&gt;0,G86+(H86-G86)*0.5,0),"")</f>
        <v/>
      </c>
    </row>
    <row r="87" spans="1:10" x14ac:dyDescent="0.25">
      <c r="B87" s="100" t="str">
        <f>IF(MODULO!$E$146&lt;&gt;"",$B$10,"")</f>
        <v/>
      </c>
      <c r="C87" s="100" t="str">
        <f>IF(MODULO!$E$146&lt;&gt;"",$C$10,"")</f>
        <v/>
      </c>
      <c r="D87" s="25" t="str">
        <f>IF(MODULO!$E$146&lt;&gt;"",$D$10,"")</f>
        <v/>
      </c>
      <c r="E87" s="25" t="str">
        <f>IF(MODULO!$E$146&lt;&gt;"",$E$10,"")</f>
        <v/>
      </c>
      <c r="F87" s="25" t="str">
        <f>IF(MODULO!$E$146&lt;&gt;"",$F$10,"")</f>
        <v/>
      </c>
      <c r="G87" s="96" t="str">
        <f>IF(MODULO!$E$146&lt;&gt;"",IF(C$82&gt;B87,IF(C$82&lt;=C87,(C$82-B87)*D87/100,(C87-B87)*D87/100),0),"")</f>
        <v/>
      </c>
      <c r="H87" s="96" t="str">
        <f>IF(MODULO!$E$146&lt;&gt;"",IF(C$82&gt;B87,IF(C$82&lt;=C87,(C$82-B87)*E87/100,(C87-B87)*E87/100),0),"")</f>
        <v/>
      </c>
      <c r="I87" s="97" t="str">
        <f>IF(MODULO!$E$146&lt;&gt;"",IF(G87&lt;&gt;0,G87+(H87-G87)*0.5,0),"")</f>
        <v/>
      </c>
    </row>
    <row r="88" spans="1:10" x14ac:dyDescent="0.25">
      <c r="B88" s="100" t="str">
        <f>IF(MODULO!$E$146&lt;&gt;"",$B$11,"")</f>
        <v/>
      </c>
      <c r="C88" s="100" t="str">
        <f>IF(MODULO!$E$146&lt;&gt;"",$C$11,"")</f>
        <v/>
      </c>
      <c r="D88" s="25" t="str">
        <f>IF(MODULO!$E$146&lt;&gt;"",$D$11,"")</f>
        <v/>
      </c>
      <c r="E88" s="25" t="str">
        <f>IF(MODULO!$E$146&lt;&gt;"",$E$11,"")</f>
        <v/>
      </c>
      <c r="F88" s="25" t="str">
        <f>IF(MODULO!$E$146&lt;&gt;"",$F$11,"")</f>
        <v/>
      </c>
      <c r="G88" s="96" t="str">
        <f>IF(MODULO!$E$146&lt;&gt;"",IF(C$82&gt;B88,IF(C$82&lt;=C88,(C$82-B88)*D88/100,(C88-B88)*D88/100),0),"")</f>
        <v/>
      </c>
      <c r="H88" s="96" t="str">
        <f>IF(MODULO!$E$146&lt;&gt;"",IF(C$82&gt;B88,IF(C$82&lt;=C88,(C$82-B88)*E88/100,(C88-B88)*E88/100),0),"")</f>
        <v/>
      </c>
      <c r="I88" s="97" t="str">
        <f>IF(MODULO!$E$146&lt;&gt;"",IF(G88&lt;&gt;0,G88+(H88-G88)*0.5,0),"")</f>
        <v/>
      </c>
    </row>
    <row r="89" spans="1:10" x14ac:dyDescent="0.25">
      <c r="B89" s="100" t="str">
        <f>IF(MODULO!$E$146&lt;&gt;"",$B$12,"")</f>
        <v/>
      </c>
      <c r="C89" s="100" t="str">
        <f>IF(MODULO!$E$146&lt;&gt;"",$C$12,"")</f>
        <v/>
      </c>
      <c r="D89" s="25" t="str">
        <f>IF(MODULO!$E$146&lt;&gt;"",$D$12,"")</f>
        <v/>
      </c>
      <c r="E89" s="25" t="str">
        <f>IF(MODULO!$E$146&lt;&gt;"",$E$12,"")</f>
        <v/>
      </c>
      <c r="F89" s="25" t="str">
        <f>IF(MODULO!$E$146&lt;&gt;"",$F$12,"")</f>
        <v/>
      </c>
      <c r="G89" s="96" t="str">
        <f>IF(MODULO!$E$146&lt;&gt;"",IF(C$82&gt;B89,IF(C$82&lt;=C89,(C$82-B89)*D89/100,(C89-B89)*D89/100),0),"")</f>
        <v/>
      </c>
      <c r="H89" s="96" t="str">
        <f>IF(MODULO!$E$146&lt;&gt;"",IF(C$82&gt;B89,IF(C$82&lt;=C89,(C$82-B89)*E89/100,(C89-B89)*E89/100),0),"")</f>
        <v/>
      </c>
      <c r="I89" s="97" t="str">
        <f>IF(MODULO!$E$146&lt;&gt;"",IF(G89&lt;&gt;0,G89+(H89-G89)*0.5,0),"")</f>
        <v/>
      </c>
    </row>
    <row r="90" spans="1:10" x14ac:dyDescent="0.25">
      <c r="B90" s="100" t="str">
        <f>IF(MODULO!$E$146&lt;&gt;"",$B$13,"")</f>
        <v/>
      </c>
      <c r="C90" s="100" t="str">
        <f>IF(MODULO!$E$146&lt;&gt;"",$C$13,"")</f>
        <v/>
      </c>
      <c r="D90" s="25" t="str">
        <f>IF(MODULO!$E$146&lt;&gt;"",$D$13,"")</f>
        <v/>
      </c>
      <c r="E90" s="25" t="str">
        <f>IF(MODULO!$E$146&lt;&gt;"",$E$13,"")</f>
        <v/>
      </c>
      <c r="F90" s="25" t="str">
        <f>IF(MODULO!$E$146&lt;&gt;"",$F$13,"")</f>
        <v/>
      </c>
      <c r="G90" s="96" t="str">
        <f>IF(MODULO!$E$146&lt;&gt;"",IF(C$82&gt;B90,IF(C$82&lt;=C90,(C$82-B90)*D90/100,(C90-B90)*D90/100),0),"")</f>
        <v/>
      </c>
      <c r="H90" s="96" t="str">
        <f>IF(MODULO!$E$146&lt;&gt;"",IF(C$82&gt;B90,IF(C$82&lt;=C90,(C$82-B90)*E90/100,(C90-B90)*E90/100),0),"")</f>
        <v/>
      </c>
      <c r="I90" s="97" t="str">
        <f>IF(MODULO!$E$146&lt;&gt;"",IF(G90&lt;&gt;0,G90+(H90-G90)*0.5,0),"")</f>
        <v/>
      </c>
    </row>
    <row r="91" spans="1:10" x14ac:dyDescent="0.25">
      <c r="B91" s="20"/>
      <c r="C91" s="20"/>
      <c r="D91" s="21"/>
      <c r="E91" s="21"/>
      <c r="F91" s="22" t="str">
        <f>IF(MODULO!$E$146&lt;&gt;"",$F$14,"")</f>
        <v/>
      </c>
      <c r="G91" s="98" t="str">
        <f>IF(MODULO!$E$146&lt;&gt;"",IF(SUM(G84:G90)&gt;145.12,SUM(G84:G90),145.12),"")</f>
        <v/>
      </c>
      <c r="H91" s="98" t="str">
        <f>IF(MODULO!$E$146&lt;&gt;"",IF(SUM(H84:H90)&gt;145.12,SUM(H84:H90),145.12),"")</f>
        <v/>
      </c>
      <c r="I91" s="98" t="str">
        <f>IF(MODULO!$E$146&lt;&gt;"",IF(SUM(I84:I90)&gt;145.12,SUM(I84:I90),145.12),"")</f>
        <v/>
      </c>
    </row>
    <row r="92" spans="1:10" x14ac:dyDescent="0.25">
      <c r="A92" s="15"/>
      <c r="B92" s="269" t="str">
        <f>IF(MODULO!$E$147&lt;&gt;"",CONCATENATE("Lotto n° ",MODULO!$E$147),"")</f>
        <v/>
      </c>
      <c r="C92" s="269"/>
      <c r="D92" s="269"/>
      <c r="E92" s="269"/>
      <c r="F92" s="269"/>
      <c r="G92" s="269"/>
      <c r="H92" s="269"/>
      <c r="I92" s="269"/>
      <c r="J92" s="15"/>
    </row>
    <row r="93" spans="1:10" x14ac:dyDescent="0.25">
      <c r="B93" s="16" t="str">
        <f>IF(MODULO!$E$147&lt;&gt;"",$B$5,"")</f>
        <v/>
      </c>
      <c r="C93" s="102" t="str">
        <f>IF(MODULO!$E$147&lt;&gt;"",MODULO!$F$147,"")</f>
        <v/>
      </c>
      <c r="D93" s="270" t="str">
        <f>IF(MODULO!$E$147&lt;&gt;"",$D$5,"")</f>
        <v/>
      </c>
      <c r="E93" s="270"/>
      <c r="F93" s="270"/>
      <c r="G93" s="270" t="str">
        <f>IF(MODULO!$E$147&lt;&gt;"",$G$5,"")</f>
        <v/>
      </c>
      <c r="H93" s="270"/>
      <c r="I93" s="270"/>
    </row>
    <row r="94" spans="1:10" x14ac:dyDescent="0.25">
      <c r="B94" s="17" t="str">
        <f>IF(MODULO!$E$147&lt;&gt;"",$B$6,"")</f>
        <v/>
      </c>
      <c r="C94" s="17" t="str">
        <f>IF(MODULO!$E$147&lt;&gt;"",$C$6,"")</f>
        <v/>
      </c>
      <c r="D94" s="18" t="str">
        <f>IF(MODULO!$E$147&lt;&gt;"",$D$6,"")</f>
        <v/>
      </c>
      <c r="E94" s="18" t="str">
        <f>IF(MODULO!$E$147&lt;&gt;"",$E$6,"")</f>
        <v/>
      </c>
      <c r="F94" s="18" t="str">
        <f>IF(MODULO!$E$147&lt;&gt;"",$F$6,"")</f>
        <v/>
      </c>
      <c r="G94" s="18" t="str">
        <f>IF(MODULO!$E$147&lt;&gt;"",$G$6,"")</f>
        <v/>
      </c>
      <c r="H94" s="18" t="str">
        <f>IF(MODULO!$E$147&lt;&gt;"",$H$6,"")</f>
        <v/>
      </c>
      <c r="I94" s="19" t="str">
        <f>IF(MODULO!$E$147&lt;&gt;"",$I$6,"")</f>
        <v/>
      </c>
    </row>
    <row r="95" spans="1:10" x14ac:dyDescent="0.25">
      <c r="B95" s="100" t="str">
        <f>IF(MODULO!$E$147&lt;&gt;"",$B$7,"")</f>
        <v/>
      </c>
      <c r="C95" s="100" t="str">
        <f>IF(MODULO!$E$147&lt;&gt;"",$C$7,"")</f>
        <v/>
      </c>
      <c r="D95" s="25" t="str">
        <f>IF(MODULO!$E$147&lt;&gt;"",$D$7,"")</f>
        <v/>
      </c>
      <c r="E95" s="25" t="str">
        <f>IF(MODULO!$E$147&lt;&gt;"",$E$7,"")</f>
        <v/>
      </c>
      <c r="F95" s="25" t="str">
        <f>IF(MODULO!$E$147&lt;&gt;"",$F$7,"")</f>
        <v/>
      </c>
      <c r="G95" s="96" t="str">
        <f>IF(MODULO!$E$147&lt;&gt;"",IF(C$93&gt;B95,IF(C$93&lt;=C95,(C$93-B95)*D95/100,(C95-B95)*D95/100),0),"")</f>
        <v/>
      </c>
      <c r="H95" s="96" t="str">
        <f>IF(MODULO!$E$147&lt;&gt;"",IF(C$93&gt;B95,IF(C$93&lt;=C95,(C$93-B95)*E95/100,(C95-B95)*E95/100),0),"")</f>
        <v/>
      </c>
      <c r="I95" s="97" t="str">
        <f>IF(MODULO!$E$147&lt;&gt;"",IF(G95&lt;&gt;0,G95+(H95-G95)*0.5,0),"")</f>
        <v/>
      </c>
    </row>
    <row r="96" spans="1:10" x14ac:dyDescent="0.25">
      <c r="B96" s="100" t="str">
        <f>IF(MODULO!$E$147&lt;&gt;"",$B$8,"")</f>
        <v/>
      </c>
      <c r="C96" s="100" t="str">
        <f>IF(MODULO!$E$147&lt;&gt;"",$C$8,"")</f>
        <v/>
      </c>
      <c r="D96" s="25" t="str">
        <f>IF(MODULO!$E$147&lt;&gt;"",$D$8,"")</f>
        <v/>
      </c>
      <c r="E96" s="25" t="str">
        <f>IF(MODULO!$E$147&lt;&gt;"",$E$8,"")</f>
        <v/>
      </c>
      <c r="F96" s="25" t="str">
        <f>IF(MODULO!$E$147&lt;&gt;"",$F$8,"")</f>
        <v/>
      </c>
      <c r="G96" s="96" t="str">
        <f>IF(MODULO!$E$147&lt;&gt;"",IF(C$93&gt;B96,IF(C$93&lt;=C96,(C$93-B96)*D96/100,(C96-B96)*D96/100),0),"")</f>
        <v/>
      </c>
      <c r="H96" s="96" t="str">
        <f>IF(MODULO!$E$147&lt;&gt;"",IF(C$93&gt;B96,IF(C$93&lt;=C96,(C$93-B96)*E96/100,(C96-B96)*E96/100),0),"")</f>
        <v/>
      </c>
      <c r="I96" s="97" t="str">
        <f>IF(MODULO!$E$147&lt;&gt;"",IF(G96&lt;&gt;0,G96+(H96-G96)*0.5,0),"")</f>
        <v/>
      </c>
    </row>
    <row r="97" spans="2:9" x14ac:dyDescent="0.25">
      <c r="B97" s="100" t="str">
        <f>IF(MODULO!$E$147&lt;&gt;"",$B$9,"")</f>
        <v/>
      </c>
      <c r="C97" s="100" t="str">
        <f>IF(MODULO!$E$147&lt;&gt;"",$C$9,"")</f>
        <v/>
      </c>
      <c r="D97" s="25" t="str">
        <f>IF(MODULO!$E$147&lt;&gt;"",$D$9,"")</f>
        <v/>
      </c>
      <c r="E97" s="25" t="str">
        <f>IF(MODULO!$E$147&lt;&gt;"",$E$9,"")</f>
        <v/>
      </c>
      <c r="F97" s="25" t="str">
        <f>IF(MODULO!$E$147&lt;&gt;"",$F$9,"")</f>
        <v/>
      </c>
      <c r="G97" s="96" t="str">
        <f>IF(MODULO!$E$147&lt;&gt;"",IF(C$93&gt;B97,IF(C$93&lt;=C97,(C$93-B97)*D97/100,(C97-B97)*D97/100),0),"")</f>
        <v/>
      </c>
      <c r="H97" s="96" t="str">
        <f>IF(MODULO!$E$147&lt;&gt;"",IF(C$93&gt;B97,IF(C$93&lt;=C97,(C$93-B97)*E97/100,(C97-B97)*E97/100),0),"")</f>
        <v/>
      </c>
      <c r="I97" s="97" t="str">
        <f>IF(MODULO!$E$147&lt;&gt;"",IF(G97&lt;&gt;0,G97+(H97-G97)*0.5,0),"")</f>
        <v/>
      </c>
    </row>
    <row r="98" spans="2:9" x14ac:dyDescent="0.25">
      <c r="B98" s="100" t="str">
        <f>IF(MODULO!$E$147&lt;&gt;"",$B$10,"")</f>
        <v/>
      </c>
      <c r="C98" s="100" t="str">
        <f>IF(MODULO!$E$147&lt;&gt;"",$C$10,"")</f>
        <v/>
      </c>
      <c r="D98" s="25" t="str">
        <f>IF(MODULO!$E$147&lt;&gt;"",$D$10,"")</f>
        <v/>
      </c>
      <c r="E98" s="25" t="str">
        <f>IF(MODULO!$E$147&lt;&gt;"",$E$10,"")</f>
        <v/>
      </c>
      <c r="F98" s="25" t="str">
        <f>IF(MODULO!$E$147&lt;&gt;"",$F$10,"")</f>
        <v/>
      </c>
      <c r="G98" s="96" t="str">
        <f>IF(MODULO!$E$147&lt;&gt;"",IF(C$93&gt;B98,IF(C$93&lt;=C98,(C$93-B98)*D98/100,(C98-B98)*D98/100),0),"")</f>
        <v/>
      </c>
      <c r="H98" s="96" t="str">
        <f>IF(MODULO!$E$147&lt;&gt;"",IF(C$93&gt;B98,IF(C$93&lt;=C98,(C$93-B98)*E98/100,(C98-B98)*E98/100),0),"")</f>
        <v/>
      </c>
      <c r="I98" s="97" t="str">
        <f>IF(MODULO!$E$147&lt;&gt;"",IF(G98&lt;&gt;0,G98+(H98-G98)*0.5,0),"")</f>
        <v/>
      </c>
    </row>
    <row r="99" spans="2:9" x14ac:dyDescent="0.25">
      <c r="B99" s="100" t="str">
        <f>IF(MODULO!$E$147&lt;&gt;"",$B$11,"")</f>
        <v/>
      </c>
      <c r="C99" s="100" t="str">
        <f>IF(MODULO!$E$147&lt;&gt;"",$C$11,"")</f>
        <v/>
      </c>
      <c r="D99" s="25" t="str">
        <f>IF(MODULO!$E$147&lt;&gt;"",$D$11,"")</f>
        <v/>
      </c>
      <c r="E99" s="25" t="str">
        <f>IF(MODULO!$E$147&lt;&gt;"",$E$11,"")</f>
        <v/>
      </c>
      <c r="F99" s="25" t="str">
        <f>IF(MODULO!$E$147&lt;&gt;"",$F$11,"")</f>
        <v/>
      </c>
      <c r="G99" s="96" t="str">
        <f>IF(MODULO!$E$147&lt;&gt;"",IF(C$93&gt;B99,IF(C$93&lt;=C99,(C$93-B99)*D99/100,(C99-B99)*D99/100),0),"")</f>
        <v/>
      </c>
      <c r="H99" s="96" t="str">
        <f>IF(MODULO!$E$147&lt;&gt;"",IF(C$93&gt;B99,IF(C$93&lt;=C99,(C$93-B99)*E99/100,(C99-B99)*E99/100),0),"")</f>
        <v/>
      </c>
      <c r="I99" s="97" t="str">
        <f>IF(MODULO!$E$147&lt;&gt;"",IF(G99&lt;&gt;0,G99+(H99-G99)*0.5,0),"")</f>
        <v/>
      </c>
    </row>
    <row r="100" spans="2:9" x14ac:dyDescent="0.25">
      <c r="B100" s="100" t="str">
        <f>IF(MODULO!$E$147&lt;&gt;"",$B$12,"")</f>
        <v/>
      </c>
      <c r="C100" s="100" t="str">
        <f>IF(MODULO!$E$147&lt;&gt;"",$C$12,"")</f>
        <v/>
      </c>
      <c r="D100" s="25" t="str">
        <f>IF(MODULO!$E$147&lt;&gt;"",$D$12,"")</f>
        <v/>
      </c>
      <c r="E100" s="25" t="str">
        <f>IF(MODULO!$E$147&lt;&gt;"",$E$12,"")</f>
        <v/>
      </c>
      <c r="F100" s="25" t="str">
        <f>IF(MODULO!$E$147&lt;&gt;"",$F$12,"")</f>
        <v/>
      </c>
      <c r="G100" s="96" t="str">
        <f>IF(MODULO!$E$147&lt;&gt;"",IF(C$93&gt;B100,IF(C$93&lt;=C100,(C$93-B100)*D100/100,(C100-B100)*D100/100),0),"")</f>
        <v/>
      </c>
      <c r="H100" s="96" t="str">
        <f>IF(MODULO!$E$147&lt;&gt;"",IF(C$93&gt;B100,IF(C$93&lt;=C100,(C$93-B100)*E100/100,(C100-B100)*E100/100),0),"")</f>
        <v/>
      </c>
      <c r="I100" s="97" t="str">
        <f>IF(MODULO!$E$147&lt;&gt;"",IF(G100&lt;&gt;0,G100+(H100-G100)*0.5,0),"")</f>
        <v/>
      </c>
    </row>
    <row r="101" spans="2:9" x14ac:dyDescent="0.25">
      <c r="B101" s="100" t="str">
        <f>IF(MODULO!$E$147&lt;&gt;"",$B$13,"")</f>
        <v/>
      </c>
      <c r="C101" s="100" t="str">
        <f>IF(MODULO!$E$147&lt;&gt;"",$C$13,"")</f>
        <v/>
      </c>
      <c r="D101" s="25" t="str">
        <f>IF(MODULO!$E$147&lt;&gt;"",$D$13,"")</f>
        <v/>
      </c>
      <c r="E101" s="25" t="str">
        <f>IF(MODULO!$E$147&lt;&gt;"",$E$13,"")</f>
        <v/>
      </c>
      <c r="F101" s="25" t="str">
        <f>IF(MODULO!$E$147&lt;&gt;"",$F$13,"")</f>
        <v/>
      </c>
      <c r="G101" s="96" t="str">
        <f>IF(MODULO!$E$147&lt;&gt;"",IF(C$93&gt;B101,IF(C$93&lt;=C101,(C$93-B101)*D101/100,(C101-B101)*D101/100),0),"")</f>
        <v/>
      </c>
      <c r="H101" s="96" t="str">
        <f>IF(MODULO!$E$147&lt;&gt;"",IF(C$93&gt;B101,IF(C$93&lt;=C101,(C$93-B101)*E101/100,(C101-B101)*E101/100),0),"")</f>
        <v/>
      </c>
      <c r="I101" s="97" t="str">
        <f>IF(MODULO!$E$147&lt;&gt;"",IF(G101&lt;&gt;0,G101+(H101-G101)*0.5,0),"")</f>
        <v/>
      </c>
    </row>
    <row r="102" spans="2:9" x14ac:dyDescent="0.25">
      <c r="B102" s="20"/>
      <c r="C102" s="20"/>
      <c r="D102" s="21"/>
      <c r="E102" s="21"/>
      <c r="F102" s="22" t="str">
        <f>IF(MODULO!$E$147&lt;&gt;"",$F$14,"")</f>
        <v/>
      </c>
      <c r="G102" s="98" t="str">
        <f>IF(MODULO!$E$147&lt;&gt;"",IF(SUM(G95:G101)&gt;145.12,SUM(G95:G101),145.12),"")</f>
        <v/>
      </c>
      <c r="H102" s="98" t="str">
        <f>IF(MODULO!$E$147&lt;&gt;"",IF(SUM(H95:H101)&gt;145.12,SUM(H95:H101),145.12),"")</f>
        <v/>
      </c>
      <c r="I102" s="98" t="str">
        <f>IF(MODULO!$E$147&lt;&gt;"",IF(SUM(I95:I101)&gt;145.12,SUM(I95:I101),145.12),"")</f>
        <v/>
      </c>
    </row>
    <row r="103" spans="2:9" x14ac:dyDescent="0.25">
      <c r="B103" s="269" t="str">
        <f>IF(MODULO!$E$148&lt;&gt;"",CONCATENATE("Lotto n° ",MODULO!$E$148),"")</f>
        <v/>
      </c>
      <c r="C103" s="269"/>
      <c r="D103" s="269"/>
      <c r="E103" s="269"/>
      <c r="F103" s="269"/>
      <c r="G103" s="269"/>
      <c r="H103" s="269"/>
      <c r="I103" s="269"/>
    </row>
    <row r="104" spans="2:9" x14ac:dyDescent="0.25">
      <c r="B104" s="16" t="str">
        <f>IF(MODULO!$E$148&lt;&gt;"",$B$5,"")</f>
        <v/>
      </c>
      <c r="C104" s="102" t="str">
        <f>IF(MODULO!$E$148&lt;&gt;"",MODULO!$F$148,"")</f>
        <v/>
      </c>
      <c r="D104" s="270" t="str">
        <f>IF(MODULO!$E$148&lt;&gt;"",$D$5,"")</f>
        <v/>
      </c>
      <c r="E104" s="270"/>
      <c r="F104" s="270"/>
      <c r="G104" s="270" t="str">
        <f>IF(MODULO!$E$148&lt;&gt;"",$G$5,"")</f>
        <v/>
      </c>
      <c r="H104" s="270"/>
      <c r="I104" s="270"/>
    </row>
    <row r="105" spans="2:9" x14ac:dyDescent="0.25">
      <c r="B105" s="17" t="str">
        <f>IF(MODULO!$E$148&lt;&gt;"",$B$6,"")</f>
        <v/>
      </c>
      <c r="C105" s="17" t="str">
        <f>IF(MODULO!$E$148&lt;&gt;"",$C$6,"")</f>
        <v/>
      </c>
      <c r="D105" s="18" t="str">
        <f>IF(MODULO!$E$148&lt;&gt;"",$D$6,"")</f>
        <v/>
      </c>
      <c r="E105" s="18" t="str">
        <f>IF(MODULO!$E$148&lt;&gt;"",$E$6,"")</f>
        <v/>
      </c>
      <c r="F105" s="18" t="str">
        <f>IF(MODULO!$E$148&lt;&gt;"",$F$6,"")</f>
        <v/>
      </c>
      <c r="G105" s="18" t="str">
        <f>IF(MODULO!$E$148&lt;&gt;"",$G$6,"")</f>
        <v/>
      </c>
      <c r="H105" s="18" t="str">
        <f>IF(MODULO!$E$148&lt;&gt;"",$H$6,"")</f>
        <v/>
      </c>
      <c r="I105" s="19" t="str">
        <f>IF(MODULO!$E$148&lt;&gt;"",$I$6,"")</f>
        <v/>
      </c>
    </row>
    <row r="106" spans="2:9" x14ac:dyDescent="0.25">
      <c r="B106" s="106" t="str">
        <f>IF(MODULO!$E$148&lt;&gt;"",$B$7,"")</f>
        <v/>
      </c>
      <c r="C106" s="106" t="str">
        <f>IF(MODULO!$E$148&lt;&gt;"",$C$7,"")</f>
        <v/>
      </c>
      <c r="D106" s="25" t="str">
        <f>IF(MODULO!$E$148&lt;&gt;"",$D$7,"")</f>
        <v/>
      </c>
      <c r="E106" s="25" t="str">
        <f>IF(MODULO!$E$148&lt;&gt;"",$E$7,"")</f>
        <v/>
      </c>
      <c r="F106" s="25" t="str">
        <f>IF(MODULO!$E$148&lt;&gt;"",$F$7,"")</f>
        <v/>
      </c>
      <c r="G106" s="96" t="str">
        <f>IF(MODULO!$E$148&lt;&gt;"",IF(C$104&gt;B106,IF(C$104&lt;=C106,(C$104-B106)*D106/100,(C106-B106)*D106/100),0),"")</f>
        <v/>
      </c>
      <c r="H106" s="96" t="str">
        <f>IF(MODULO!$E$148&lt;&gt;"",IF(C$104&gt;B106,IF(C$104&lt;=C106,(C$104-B106)*E106/100,(C106-B106)*E106/100),0),"")</f>
        <v/>
      </c>
      <c r="I106" s="97" t="str">
        <f>IF(MODULO!$E$148&lt;&gt;"",IF(G106&lt;&gt;0,G106+(H106-G106)*0.5,0),"")</f>
        <v/>
      </c>
    </row>
    <row r="107" spans="2:9" x14ac:dyDescent="0.25">
      <c r="B107" s="106" t="str">
        <f>IF(MODULO!$E$148&lt;&gt;"",$B$8,"")</f>
        <v/>
      </c>
      <c r="C107" s="106" t="str">
        <f>IF(MODULO!$E$148&lt;&gt;"",$C$8,"")</f>
        <v/>
      </c>
      <c r="D107" s="25" t="str">
        <f>IF(MODULO!$E$148&lt;&gt;"",$D$8,"")</f>
        <v/>
      </c>
      <c r="E107" s="25" t="str">
        <f>IF(MODULO!$E$148&lt;&gt;"",$E$8,"")</f>
        <v/>
      </c>
      <c r="F107" s="25" t="str">
        <f>IF(MODULO!$E$148&lt;&gt;"",$F$8,"")</f>
        <v/>
      </c>
      <c r="G107" s="96" t="str">
        <f>IF(MODULO!$E$148&lt;&gt;"",IF(C$104&gt;B107,IF(C$104&lt;=C107,(C$104-B107)*D107/100,(C107-B107)*D107/100),0),"")</f>
        <v/>
      </c>
      <c r="H107" s="96" t="str">
        <f>IF(MODULO!$E$148&lt;&gt;"",IF(C$104&gt;B107,IF(C$104&lt;=C107,(C$104-B107)*E107/100,(C107-B107)*E107/100),0),"")</f>
        <v/>
      </c>
      <c r="I107" s="97" t="str">
        <f>IF(MODULO!$E$148&lt;&gt;"",IF(G107&lt;&gt;0,G107+(H107-G107)*0.5,0),"")</f>
        <v/>
      </c>
    </row>
    <row r="108" spans="2:9" x14ac:dyDescent="0.25">
      <c r="B108" s="106" t="str">
        <f>IF(MODULO!$E$148&lt;&gt;"",$B$9,"")</f>
        <v/>
      </c>
      <c r="C108" s="106" t="str">
        <f>IF(MODULO!$E$148&lt;&gt;"",$C$9,"")</f>
        <v/>
      </c>
      <c r="D108" s="25" t="str">
        <f>IF(MODULO!$E$148&lt;&gt;"",$D$9,"")</f>
        <v/>
      </c>
      <c r="E108" s="25" t="str">
        <f>IF(MODULO!$E$148&lt;&gt;"",$E$9,"")</f>
        <v/>
      </c>
      <c r="F108" s="25" t="str">
        <f>IF(MODULO!$E$148&lt;&gt;"",$F$9,"")</f>
        <v/>
      </c>
      <c r="G108" s="96" t="str">
        <f>IF(MODULO!$E$148&lt;&gt;"",IF(C$104&gt;B108,IF(C$104&lt;=C108,(C$104-B108)*D108/100,(C108-B108)*D108/100),0),"")</f>
        <v/>
      </c>
      <c r="H108" s="96" t="str">
        <f>IF(MODULO!$E$148&lt;&gt;"",IF(C$104&gt;B108,IF(C$104&lt;=C108,(C$104-B108)*E108/100,(C108-B108)*E108/100),0),"")</f>
        <v/>
      </c>
      <c r="I108" s="97" t="str">
        <f>IF(MODULO!$E$148&lt;&gt;"",IF(G108&lt;&gt;0,G108+(H108-G108)*0.5,0),"")</f>
        <v/>
      </c>
    </row>
    <row r="109" spans="2:9" x14ac:dyDescent="0.25">
      <c r="B109" s="106" t="str">
        <f>IF(MODULO!$E$148&lt;&gt;"",$B$10,"")</f>
        <v/>
      </c>
      <c r="C109" s="106" t="str">
        <f>IF(MODULO!$E$148&lt;&gt;"",$C$10,"")</f>
        <v/>
      </c>
      <c r="D109" s="25" t="str">
        <f>IF(MODULO!$E$148&lt;&gt;"",$D$10,"")</f>
        <v/>
      </c>
      <c r="E109" s="25" t="str">
        <f>IF(MODULO!$E$148&lt;&gt;"",$E$10,"")</f>
        <v/>
      </c>
      <c r="F109" s="25" t="str">
        <f>IF(MODULO!$E$148&lt;&gt;"",$F$10,"")</f>
        <v/>
      </c>
      <c r="G109" s="96" t="str">
        <f>IF(MODULO!$E$148&lt;&gt;"",IF(C$104&gt;B109,IF(C$104&lt;=C109,(C$104-B109)*D109/100,(C109-B109)*D109/100),0),"")</f>
        <v/>
      </c>
      <c r="H109" s="96" t="str">
        <f>IF(MODULO!$E$148&lt;&gt;"",IF(C$104&gt;B109,IF(C$104&lt;=C109,(C$104-B109)*E109/100,(C109-B109)*E109/100),0),"")</f>
        <v/>
      </c>
      <c r="I109" s="97" t="str">
        <f>IF(MODULO!$E$148&lt;&gt;"",IF(G109&lt;&gt;0,G109+(H109-G109)*0.5,0),"")</f>
        <v/>
      </c>
    </row>
    <row r="110" spans="2:9" x14ac:dyDescent="0.25">
      <c r="B110" s="106" t="str">
        <f>IF(MODULO!$E$148&lt;&gt;"",$B$11,"")</f>
        <v/>
      </c>
      <c r="C110" s="106" t="str">
        <f>IF(MODULO!$E$148&lt;&gt;"",$C$11,"")</f>
        <v/>
      </c>
      <c r="D110" s="25" t="str">
        <f>IF(MODULO!$E$148&lt;&gt;"",$D$11,"")</f>
        <v/>
      </c>
      <c r="E110" s="25" t="str">
        <f>IF(MODULO!$E$148&lt;&gt;"",$E$11,"")</f>
        <v/>
      </c>
      <c r="F110" s="25" t="str">
        <f>IF(MODULO!$E$148&lt;&gt;"",$F$11,"")</f>
        <v/>
      </c>
      <c r="G110" s="96" t="str">
        <f>IF(MODULO!$E$148&lt;&gt;"",IF(C$104&gt;B110,IF(C$104&lt;=C110,(C$104-B110)*D110/100,(C110-B110)*D110/100),0),"")</f>
        <v/>
      </c>
      <c r="H110" s="96" t="str">
        <f>IF(MODULO!$E$148&lt;&gt;"",IF(C$104&gt;B110,IF(C$104&lt;=C110,(C$104-B110)*E110/100,(C110-B110)*E110/100),0),"")</f>
        <v/>
      </c>
      <c r="I110" s="97" t="str">
        <f>IF(MODULO!$E$148&lt;&gt;"",IF(G110&lt;&gt;0,G110+(H110-G110)*0.5,0),"")</f>
        <v/>
      </c>
    </row>
    <row r="111" spans="2:9" x14ac:dyDescent="0.25">
      <c r="B111" s="106" t="str">
        <f>IF(MODULO!$E$148&lt;&gt;"",$B$12,"")</f>
        <v/>
      </c>
      <c r="C111" s="106" t="str">
        <f>IF(MODULO!$E$148&lt;&gt;"",$C$12,"")</f>
        <v/>
      </c>
      <c r="D111" s="25" t="str">
        <f>IF(MODULO!$E$148&lt;&gt;"",$D$12,"")</f>
        <v/>
      </c>
      <c r="E111" s="25" t="str">
        <f>IF(MODULO!$E$148&lt;&gt;"",$E$12,"")</f>
        <v/>
      </c>
      <c r="F111" s="25" t="str">
        <f>IF(MODULO!$E$148&lt;&gt;"",$F$12,"")</f>
        <v/>
      </c>
      <c r="G111" s="96" t="str">
        <f>IF(MODULO!$E$148&lt;&gt;"",IF(C$104&gt;B111,IF(C$104&lt;=C111,(C$104-B111)*D111/100,(C111-B111)*D111/100),0),"")</f>
        <v/>
      </c>
      <c r="H111" s="96" t="str">
        <f>IF(MODULO!$E$148&lt;&gt;"",IF(C$104&gt;B111,IF(C$104&lt;=C111,(C$104-B111)*E111/100,(C111-B111)*E111/100),0),"")</f>
        <v/>
      </c>
      <c r="I111" s="97" t="str">
        <f>IF(MODULO!$E$148&lt;&gt;"",IF(G111&lt;&gt;0,G111+(H111-G111)*0.5,0),"")</f>
        <v/>
      </c>
    </row>
    <row r="112" spans="2:9" x14ac:dyDescent="0.25">
      <c r="B112" s="106" t="str">
        <f>IF(MODULO!$E$148&lt;&gt;"",$B$13,"")</f>
        <v/>
      </c>
      <c r="C112" s="106" t="str">
        <f>IF(MODULO!$E$148&lt;&gt;"",$C$13,"")</f>
        <v/>
      </c>
      <c r="D112" s="25" t="str">
        <f>IF(MODULO!$E$148&lt;&gt;"",$D$13,"")</f>
        <v/>
      </c>
      <c r="E112" s="25" t="str">
        <f>IF(MODULO!$E$148&lt;&gt;"",$E$13,"")</f>
        <v/>
      </c>
      <c r="F112" s="25" t="str">
        <f>IF(MODULO!$E$148&lt;&gt;"",$F$13,"")</f>
        <v/>
      </c>
      <c r="G112" s="96" t="str">
        <f>IF(MODULO!$E$148&lt;&gt;"",IF(C$104&gt;B112,IF(C$104&lt;=C112,(C$104-B112)*D112/100,(C112-B112)*D112/100),0),"")</f>
        <v/>
      </c>
      <c r="H112" s="96" t="str">
        <f>IF(MODULO!$E$148&lt;&gt;"",IF(C$104&gt;B112,IF(C$104&lt;=C112,(C$104-B112)*E112/100,(C112-B112)*E112/100),0),"")</f>
        <v/>
      </c>
      <c r="I112" s="97" t="str">
        <f>IF(MODULO!$E$148&lt;&gt;"",IF(G112&lt;&gt;0,G112+(H112-G112)*0.5,0),"")</f>
        <v/>
      </c>
    </row>
    <row r="113" spans="2:9" x14ac:dyDescent="0.25">
      <c r="B113" s="20"/>
      <c r="C113" s="20"/>
      <c r="D113" s="21"/>
      <c r="E113" s="21"/>
      <c r="F113" s="22" t="str">
        <f>IF(MODULO!$E$148&lt;&gt;"",$F$14,"")</f>
        <v/>
      </c>
      <c r="G113" s="98" t="str">
        <f>IF(MODULO!$E$148&lt;&gt;"",IF(SUM(G106:G112)&gt;145.12,SUM(G106:G112),145.12),"")</f>
        <v/>
      </c>
      <c r="H113" s="98" t="str">
        <f>IF(MODULO!$E$148&lt;&gt;"",IF(SUM(H106:H112)&gt;145.12,SUM(H106:H112),145.12),"")</f>
        <v/>
      </c>
      <c r="I113" s="98" t="str">
        <f>IF(MODULO!$E$148&lt;&gt;"",IF(SUM(I106:I112)&gt;145.12,SUM(I106:I112),145.12),"")</f>
        <v/>
      </c>
    </row>
    <row r="114" spans="2:9" hidden="1" x14ac:dyDescent="0.25"/>
    <row r="115" spans="2:9" hidden="1" x14ac:dyDescent="0.25"/>
    <row r="116" spans="2:9" hidden="1" x14ac:dyDescent="0.25"/>
    <row r="117" spans="2:9" hidden="1" x14ac:dyDescent="0.25"/>
    <row r="118" spans="2:9" hidden="1" x14ac:dyDescent="0.25"/>
    <row r="119" spans="2:9" hidden="1" x14ac:dyDescent="0.25"/>
    <row r="120" spans="2:9" hidden="1" x14ac:dyDescent="0.25"/>
    <row r="121" spans="2:9" hidden="1" x14ac:dyDescent="0.25"/>
    <row r="122" spans="2:9" hidden="1" x14ac:dyDescent="0.25"/>
    <row r="123" spans="2:9" hidden="1" x14ac:dyDescent="0.25"/>
    <row r="124" spans="2:9" hidden="1" x14ac:dyDescent="0.25"/>
  </sheetData>
  <sheetProtection sheet="1" objects="1" scenarios="1"/>
  <mergeCells count="33">
    <mergeCell ref="B15:I15"/>
    <mergeCell ref="D16:F16"/>
    <mergeCell ref="G16:I16"/>
    <mergeCell ref="B26:I26"/>
    <mergeCell ref="D93:F93"/>
    <mergeCell ref="G93:I93"/>
    <mergeCell ref="D71:F71"/>
    <mergeCell ref="G71:I71"/>
    <mergeCell ref="B81:I81"/>
    <mergeCell ref="D82:F82"/>
    <mergeCell ref="G82:I82"/>
    <mergeCell ref="B103:I103"/>
    <mergeCell ref="D104:F104"/>
    <mergeCell ref="G104:I104"/>
    <mergeCell ref="D27:F27"/>
    <mergeCell ref="G27:I27"/>
    <mergeCell ref="B37:I37"/>
    <mergeCell ref="D38:F38"/>
    <mergeCell ref="G38:I38"/>
    <mergeCell ref="B48:I48"/>
    <mergeCell ref="D49:F49"/>
    <mergeCell ref="G49:I49"/>
    <mergeCell ref="B59:I59"/>
    <mergeCell ref="B92:I92"/>
    <mergeCell ref="D60:F60"/>
    <mergeCell ref="G60:I60"/>
    <mergeCell ref="B70:I70"/>
    <mergeCell ref="A1:J1"/>
    <mergeCell ref="A2:J2"/>
    <mergeCell ref="A3:J3"/>
    <mergeCell ref="D5:F5"/>
    <mergeCell ref="G5:I5"/>
    <mergeCell ref="B4:I4"/>
  </mergeCells>
  <conditionalFormatting sqref="B15:I17 G18:I24 G29:I35 G40:I46 G62:I68 G73:I79 G84:I90 G95:I101 B113:I113 G106:I112 B25:I28 B36:I39 B47:I49 B58:I61 B69:I72 B80:I83 B91:I94 B102:I105 B57:C57 G50:I57">
    <cfRule type="cellIs" dxfId="11" priority="22" operator="notEqual">
      <formula>""</formula>
    </cfRule>
  </conditionalFormatting>
  <conditionalFormatting sqref="B4:I14">
    <cfRule type="cellIs" dxfId="10" priority="21" operator="notEqual">
      <formula>""</formula>
    </cfRule>
  </conditionalFormatting>
  <conditionalFormatting sqref="B18:F24">
    <cfRule type="cellIs" dxfId="9" priority="20" operator="notEqual">
      <formula>""</formula>
    </cfRule>
  </conditionalFormatting>
  <conditionalFormatting sqref="B29:F35">
    <cfRule type="cellIs" dxfId="8" priority="19" operator="notEqual">
      <formula>""</formula>
    </cfRule>
  </conditionalFormatting>
  <conditionalFormatting sqref="B40:F46">
    <cfRule type="cellIs" dxfId="7" priority="18" operator="notEqual">
      <formula>""</formula>
    </cfRule>
  </conditionalFormatting>
  <conditionalFormatting sqref="B50:F50 B51:C56">
    <cfRule type="cellIs" dxfId="6" priority="17" operator="notEqual">
      <formula>""</formula>
    </cfRule>
  </conditionalFormatting>
  <conditionalFormatting sqref="B62:F68">
    <cfRule type="cellIs" dxfId="5" priority="16" operator="notEqual">
      <formula>""</formula>
    </cfRule>
  </conditionalFormatting>
  <conditionalFormatting sqref="B73:F79">
    <cfRule type="cellIs" dxfId="4" priority="15" operator="notEqual">
      <formula>""</formula>
    </cfRule>
  </conditionalFormatting>
  <conditionalFormatting sqref="B84:F90">
    <cfRule type="cellIs" dxfId="3" priority="14" operator="notEqual">
      <formula>""</formula>
    </cfRule>
  </conditionalFormatting>
  <conditionalFormatting sqref="B95:F101">
    <cfRule type="cellIs" dxfId="2" priority="13" operator="notEqual">
      <formula>""</formula>
    </cfRule>
  </conditionalFormatting>
  <conditionalFormatting sqref="B106:F112">
    <cfRule type="cellIs" dxfId="1" priority="12" operator="notEqual">
      <formula>""</formula>
    </cfRule>
  </conditionalFormatting>
  <conditionalFormatting sqref="D51:F57">
    <cfRule type="cellIs" dxfId="0" priority="1" operator="notEqual">
      <formula>""</formula>
    </cfRule>
  </conditionalFormatting>
  <pageMargins left="0.70866141732283472" right="0.70866141732283472" top="0.74803149606299213" bottom="0.74803149606299213" header="0.31496062992125984" footer="0.31496062992125984"/>
  <pageSetup paperSize="9" scale="78" fitToHeight="0" orientation="landscape" r:id="rId1"/>
  <rowBreaks count="3" manualBreakCount="3">
    <brk id="25" max="16383" man="1"/>
    <brk id="58" max="16383" man="1"/>
    <brk id="91" max="16383" man="1"/>
  </rowBreaks>
  <legacyDrawingHF r:id="rId2"/>
</worksheet>
</file>

<file path=docProps/app.xml><?xml version="1.0" encoding="utf-8"?>
<Properties xmlns="http://schemas.openxmlformats.org/officeDocument/2006/extended-properties" xmlns:vt="http://schemas.openxmlformats.org/officeDocument/2006/docPropsVTypes">
  <TotalTime>16536</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MODULO</vt:lpstr>
      <vt:lpstr>Art. 13</vt:lpstr>
      <vt:lpstr>Art.11</vt:lpstr>
      <vt:lpstr>MODULO!Area_stampa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Gabry</dc:creator>
  <cp:lastModifiedBy>Gabry</cp:lastModifiedBy>
  <cp:revision>11</cp:revision>
  <cp:lastPrinted>2018-01-11T08:56:24Z</cp:lastPrinted>
  <dcterms:created xsi:type="dcterms:W3CDTF">2006-09-25T07:17:32Z</dcterms:created>
  <dcterms:modified xsi:type="dcterms:W3CDTF">2018-01-15T07:53:27Z</dcterms:modified>
  <dc:language>it-IT</dc:language>
</cp:coreProperties>
</file>